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Documentation" sheetId="1" r:id="rId1"/>
    <sheet name="INPUT" sheetId="2" r:id="rId2"/>
    <sheet name="NORTH FORK" sheetId="3" r:id="rId3"/>
    <sheet name="ARIKAREE" sheetId="4" r:id="rId4"/>
    <sheet name="BUFFALO" sheetId="5" r:id="rId5"/>
    <sheet name="ROCK" sheetId="6" r:id="rId6"/>
    <sheet name="SOUTH FORK" sheetId="7" r:id="rId7"/>
    <sheet name="FRENCHMAN" sheetId="8" r:id="rId8"/>
    <sheet name="DRIFTWOOD" sheetId="9" r:id="rId9"/>
    <sheet name="RED WILLOW" sheetId="10" r:id="rId10"/>
    <sheet name="MEDICINE CREEK" sheetId="11" r:id="rId11"/>
    <sheet name="BEAVER" sheetId="12" r:id="rId12"/>
    <sheet name="SAPPA" sheetId="13" r:id="rId13"/>
    <sheet name="PRAIRIE DOG" sheetId="14" r:id="rId14"/>
    <sheet name="MAINSTEM" sheetId="15" r:id="rId15"/>
    <sheet name="T1" sheetId="16" r:id="rId16"/>
    <sheet name="T2" sheetId="17" r:id="rId17"/>
    <sheet name="T3 A,B,C" sheetId="18" r:id="rId18"/>
    <sheet name="T4 A,B" sheetId="19" r:id="rId19"/>
    <sheet name="T5A" sheetId="20" r:id="rId20"/>
    <sheet name="T5 B,E" sheetId="21" r:id="rId21"/>
    <sheet name="T5 C,D" sheetId="22" r:id="rId22"/>
    <sheet name="Attachment6" sheetId="23" r:id="rId23"/>
    <sheet name="Attachment7" sheetId="24" r:id="rId24"/>
    <sheet name="GM_output" sheetId="25" r:id="rId25"/>
    <sheet name="CourtlandAvLove" sheetId="26" r:id="rId26"/>
    <sheet name="Fed_Reservoir" sheetId="27" r:id="rId27"/>
  </sheets>
  <definedNames>
    <definedName name="CanalCUPercent">'INPUT'!$C$148</definedName>
    <definedName name="MI_CUPercent">'INPUT'!$C$150</definedName>
    <definedName name="_xlnm.Print_Area" localSheetId="3">'ARIKAREE'!$A:$B</definedName>
    <definedName name="_xlnm.Print_Area" localSheetId="23">'Attachment7'!$A$1:$K$32</definedName>
    <definedName name="_xlnm.Print_Area" localSheetId="11">'BEAVER'!$A:$B</definedName>
    <definedName name="_xlnm.Print_Area" localSheetId="4">'BUFFALO'!$A:$B</definedName>
    <definedName name="_xlnm.Print_Area" localSheetId="0">'Documentation'!$A$1:$H$67</definedName>
    <definedName name="_xlnm.Print_Area" localSheetId="8">'DRIFTWOOD'!$A:$B</definedName>
    <definedName name="_xlnm.Print_Area" localSheetId="7">'FRENCHMAN'!$A:$B</definedName>
    <definedName name="_xlnm.Print_Area" localSheetId="1">'INPUT'!$A$1:$C$275</definedName>
    <definedName name="_xlnm.Print_Area" localSheetId="14">'MAINSTEM'!$A$1:$B$198</definedName>
    <definedName name="_xlnm.Print_Area" localSheetId="10">'MEDICINE CREEK'!$A:$B</definedName>
    <definedName name="_xlnm.Print_Area" localSheetId="2">'NORTH FORK'!$A$1:$B$66</definedName>
    <definedName name="_xlnm.Print_Area" localSheetId="13">'PRAIRIE DOG'!$A:$B</definedName>
    <definedName name="_xlnm.Print_Area" localSheetId="9">'RED WILLOW'!$A:$B</definedName>
    <definedName name="_xlnm.Print_Area" localSheetId="5">'ROCK'!$A:$B</definedName>
    <definedName name="_xlnm.Print_Area" localSheetId="12">'SAPPA'!$A:$B</definedName>
    <definedName name="_xlnm.Print_Area" localSheetId="6">'SOUTH FORK'!$A:$B</definedName>
    <definedName name="_xlnm.Print_Area" localSheetId="15">'T1'!$A$1:$K$21</definedName>
    <definedName name="_xlnm.Print_Area" localSheetId="16">'T2'!$A$1:$J$18</definedName>
    <definedName name="_xlnm.Print_Area" localSheetId="17">'T3 A,B,C'!$A$1:$E$27</definedName>
    <definedName name="_xlnm.Print_Area" localSheetId="18">'T4 A,B'!$A$1:$H$16</definedName>
    <definedName name="_xlnm.Print_Area" localSheetId="20">'T5 B,E'!$A$1:$G$13</definedName>
    <definedName name="_xlnm.Print_Area" localSheetId="21">'T5 C,D'!$A$1:$I$14</definedName>
    <definedName name="_xlnm.Print_Area" localSheetId="19">'T5A'!$A$1:$E$8</definedName>
    <definedName name="_xlnm.Print_Titles" localSheetId="3">'ARIKAREE'!$1:$2</definedName>
    <definedName name="_xlnm.Print_Titles" localSheetId="11">'BEAVER'!$1:$2</definedName>
    <definedName name="_xlnm.Print_Titles" localSheetId="4">'BUFFALO'!$1:$2</definedName>
    <definedName name="_xlnm.Print_Titles" localSheetId="8">'DRIFTWOOD'!$1:$2</definedName>
    <definedName name="_xlnm.Print_Titles" localSheetId="7">'FRENCHMAN'!$1:$2</definedName>
    <definedName name="_xlnm.Print_Titles" localSheetId="1">'INPUT'!$1:$2</definedName>
    <definedName name="_xlnm.Print_Titles" localSheetId="14">'MAINSTEM'!$1:$2</definedName>
    <definedName name="_xlnm.Print_Titles" localSheetId="10">'MEDICINE CREEK'!$1:$2</definedName>
    <definedName name="_xlnm.Print_Titles" localSheetId="2">'NORTH FORK'!$1:$2</definedName>
    <definedName name="_xlnm.Print_Titles" localSheetId="13">'PRAIRIE DOG'!$1:$2</definedName>
    <definedName name="_xlnm.Print_Titles" localSheetId="9">'RED WILLOW'!$1:$2</definedName>
    <definedName name="_xlnm.Print_Titles" localSheetId="5">'ROCK'!$1:$2</definedName>
    <definedName name="_xlnm.Print_Titles" localSheetId="12">'SAPPA'!$1:$2</definedName>
    <definedName name="_xlnm.Print_Titles" localSheetId="6">'SOUTH FORK'!$1:$2</definedName>
    <definedName name="PumperCUPercent">'INPUT'!$C$149</definedName>
  </definedNames>
  <calcPr fullCalcOnLoad="1"/>
</workbook>
</file>

<file path=xl/sharedStrings.xml><?xml version="1.0" encoding="utf-8"?>
<sst xmlns="http://schemas.openxmlformats.org/spreadsheetml/2006/main" count="1688" uniqueCount="596">
  <si>
    <t>Colorado</t>
  </si>
  <si>
    <t>Nebraska</t>
  </si>
  <si>
    <t>Unallocated</t>
  </si>
  <si>
    <t>Computed Beneficial Consumptive Use</t>
  </si>
  <si>
    <t>Total</t>
  </si>
  <si>
    <t>Rock</t>
  </si>
  <si>
    <t>Main Stem</t>
  </si>
  <si>
    <t>Basin</t>
  </si>
  <si>
    <t>Total All Basins</t>
  </si>
  <si>
    <t>Table 1: Annual Virgin and Computed Water Supply, Allocations, and Computed Beneficial Consumptive Uses by State, Main Stem, and Sub-Basin</t>
  </si>
  <si>
    <t>Virgin Water Supply</t>
  </si>
  <si>
    <t>Computed Water Supply</t>
  </si>
  <si>
    <t>Allocations</t>
  </si>
  <si>
    <t xml:space="preserve">Kansas </t>
  </si>
  <si>
    <t>North Fork</t>
  </si>
  <si>
    <t>Arikaree</t>
  </si>
  <si>
    <t>Buffalo</t>
  </si>
  <si>
    <t>South Fork</t>
  </si>
  <si>
    <t>Frenchman</t>
  </si>
  <si>
    <t>Driftwood</t>
  </si>
  <si>
    <t>Red Willow</t>
  </si>
  <si>
    <t>Medicine</t>
  </si>
  <si>
    <t>Beaver</t>
  </si>
  <si>
    <t>Sappa</t>
  </si>
  <si>
    <t>Prairie Dog</t>
  </si>
  <si>
    <t>Main Stem Including Unallocated</t>
  </si>
  <si>
    <t>Table 2: Original Compact Virgin Water Supply and Allocations</t>
  </si>
  <si>
    <t>Colorado Allocation</t>
  </si>
  <si>
    <t>% of Basin Supply</t>
  </si>
  <si>
    <t>Kansas Allocation</t>
  </si>
  <si>
    <t>Nebraska Allocation</t>
  </si>
  <si>
    <t>Main Stem + Unallocated</t>
  </si>
  <si>
    <t>Tributaries        Sub-Total</t>
  </si>
  <si>
    <t>Table 3A: Colorado's Five-Year Average Allocation and CBCU</t>
  </si>
  <si>
    <t>Year</t>
  </si>
  <si>
    <t>Allocation</t>
  </si>
  <si>
    <t>Imported Water Supply Credit</t>
  </si>
  <si>
    <t>Average</t>
  </si>
  <si>
    <t>Table 3B: Kansas's Five-Year Average Allocation and CBCU</t>
  </si>
  <si>
    <t>Table 3C: Nebraska's Five-Year Average Allocation and CBCU</t>
  </si>
  <si>
    <t>Table 4A: Colorado's Sub-Basin Non-impairment Compliance</t>
  </si>
  <si>
    <t>Allocation (Five-year Average)</t>
  </si>
  <si>
    <t>Unallocated Supply (Five-year Average)</t>
  </si>
  <si>
    <t>Imported Water Supply Credit (Five-year Average)</t>
  </si>
  <si>
    <t>Total Available Supply</t>
  </si>
  <si>
    <t>Computed Beneficial Consumptive Use (Five-year Average)</t>
  </si>
  <si>
    <t>Available Supply - CBCU</t>
  </si>
  <si>
    <t>Table 4B: Kansas's Sub-Basin Non-impairment Compliance</t>
  </si>
  <si>
    <t>Allocation - Allocation Beaver</t>
  </si>
  <si>
    <t>Computed Beneficial Consumptive Use - CBCU Beaver</t>
  </si>
  <si>
    <t>Imported Water Supply Credit - IWS Beaver</t>
  </si>
  <si>
    <t>Table 5A: Colorado's Compliance During Water-Short Year Administration</t>
  </si>
  <si>
    <t>Table 5B: Kansas's Compliance During Water-Short Year Administration</t>
  </si>
  <si>
    <t>Sub-Basin Total</t>
  </si>
  <si>
    <t>Nebraska's Share of Unallocated Supply</t>
  </si>
  <si>
    <t>Kansas's Share of Unallocated Supply</t>
  </si>
  <si>
    <t>State-Wide Allocation</t>
  </si>
  <si>
    <t>Allocation Below Guide Rock</t>
  </si>
  <si>
    <t>Allocation Above Guide Rock</t>
  </si>
  <si>
    <t>State-Wide CBCU</t>
  </si>
  <si>
    <t>CBCU Below Guide Rock</t>
  </si>
  <si>
    <t>CBCU Above Guide Rock</t>
  </si>
  <si>
    <t>Imported Water Supply Credit above Guide Rock</t>
  </si>
  <si>
    <t>Table 5C: Nebraska's Compliance During Water-Short Year Administration</t>
  </si>
  <si>
    <t>Hardy Gage</t>
  </si>
  <si>
    <t>Superior Courtland Diversion Dam</t>
  </si>
  <si>
    <t>Courtland Canal Diversions</t>
  </si>
  <si>
    <t>Superior Canal Diversion</t>
  </si>
  <si>
    <t>Courtland Canal Returns</t>
  </si>
  <si>
    <t>Superior Canal Returns</t>
  </si>
  <si>
    <t>Total Bostwick Returns Below Guide Rock</t>
  </si>
  <si>
    <t>NE CBCU Below Guide Rock</t>
  </si>
  <si>
    <t>KS CBCU Below Ruide Rock</t>
  </si>
  <si>
    <t>Gain Guide Rock to Hardy</t>
  </si>
  <si>
    <t>VWS Guide Rock to Hardy</t>
  </si>
  <si>
    <t>Nebraska Guide Rock to Hardy Allocation</t>
  </si>
  <si>
    <t>Kansas Guide Rock to Hardy Allocation</t>
  </si>
  <si>
    <t>Total CBCU Below Guide Rock</t>
  </si>
  <si>
    <t>COURTLAND CANAL</t>
  </si>
  <si>
    <t>Spreadsheet name:</t>
  </si>
  <si>
    <t>North Fork Subbasin</t>
  </si>
  <si>
    <t/>
  </si>
  <si>
    <t>Arikaree Subbasin</t>
  </si>
  <si>
    <t>Buffalo Subbasin</t>
  </si>
  <si>
    <t>Rock Subbasin</t>
  </si>
  <si>
    <t>Frenchman Subbasin</t>
  </si>
  <si>
    <t>Driftwood Subbasin</t>
  </si>
  <si>
    <t>Red Willow Subbasin</t>
  </si>
  <si>
    <t>Medicine Creek Subbasin</t>
  </si>
  <si>
    <t>Beaver Subbasin</t>
  </si>
  <si>
    <t>Sappa Subbasin</t>
  </si>
  <si>
    <t>Prairie Dog Subbasin</t>
  </si>
  <si>
    <t>Mainstem Subbasin</t>
  </si>
  <si>
    <t>Calendar Year</t>
  </si>
  <si>
    <t>Groundwater Data</t>
  </si>
  <si>
    <t>Import Water Data</t>
  </si>
  <si>
    <t>SW Pumping Data</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</si>
  <si>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</si>
  <si>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</si>
  <si>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</si>
  <si>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</si>
  <si>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</si>
  <si>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</si>
  <si>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</si>
  <si>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Red Willow Creek Near Red Willow</t>
  </si>
  <si>
    <t>Medicine Creek Below Harry Strunk</t>
  </si>
  <si>
    <t>Beaver Creek Near Beaver City</t>
  </si>
  <si>
    <t>Sappa Creek Near Stamford</t>
  </si>
  <si>
    <t>Prairie Dog Creek Near Woodruff</t>
  </si>
  <si>
    <t>Republican River At Guide Rock</t>
  </si>
  <si>
    <t>Republican River Near Hardy</t>
  </si>
  <si>
    <t>Flood Flow Data</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</si>
  <si>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</si>
  <si>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</si>
  <si>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</si>
  <si>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</si>
  <si>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</si>
  <si>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</si>
  <si>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</si>
  <si>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</si>
  <si>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</si>
  <si>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</si>
  <si>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</si>
  <si>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</si>
  <si>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</si>
  <si>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</si>
  <si>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</si>
  <si>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</si>
  <si>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</si>
  <si>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</si>
  <si>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</si>
  <si>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</si>
  <si>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</si>
  <si>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</si>
  <si>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</si>
  <si>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</si>
  <si>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</si>
  <si>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</si>
  <si>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Evaporation</t>
  </si>
  <si>
    <t>Harlan County Change In Storage</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</si>
  <si>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</si>
  <si>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</si>
  <si>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</si>
  <si>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</si>
  <si>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</si>
  <si>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</si>
  <si>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</si>
  <si>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</si>
  <si>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</si>
  <si>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</si>
  <si>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</si>
  <si>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</si>
  <si>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</si>
  <si>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</si>
  <si>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</si>
  <si>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Bartley Canal Diversion</t>
  </si>
  <si>
    <t>Cambridge Canal Diversion</t>
  </si>
  <si>
    <t>Naponee Canal Diversion</t>
  </si>
  <si>
    <t>Franklin Canal Diversion</t>
  </si>
  <si>
    <t>Franklin Pump Canal Diversions</t>
  </si>
  <si>
    <t>Superior Canal Diversions</t>
  </si>
  <si>
    <t>Courtland Canal Diversions At Headgate</t>
  </si>
  <si>
    <t>Courtland Canal At Kansas-Nebraska State Line</t>
  </si>
  <si>
    <t>Courtland Canal Deliveries To Lovewell Reservoir</t>
  </si>
  <si>
    <t>Return Flow To Republican River Above Hardy From Kansas</t>
  </si>
  <si>
    <t>Bartley Canal % Return Flow</t>
  </si>
  <si>
    <t>Cambridge Canal % Return Flow</t>
  </si>
  <si>
    <t>Naponee Canal % Return Flow</t>
  </si>
  <si>
    <t>Franklin Canal % Return Flow</t>
  </si>
  <si>
    <t>Franklin Pump Canal % Return Flow</t>
  </si>
  <si>
    <t>Superior Canal % Return Flow</t>
  </si>
  <si>
    <t>Courtland Canal Above Lovewell %  Return Flow</t>
  </si>
  <si>
    <t>Courtland Canal Below Lovewell % Return Flow</t>
  </si>
  <si>
    <t>North Fork Republican River Sub-Basin</t>
  </si>
  <si>
    <t>Input Data</t>
  </si>
  <si>
    <t>Groundwater / Model Data</t>
  </si>
  <si>
    <t>Imported Water Nebraska</t>
  </si>
  <si>
    <t>Surface Water Data</t>
  </si>
  <si>
    <t>Kansas</t>
  </si>
  <si>
    <t>Totals</t>
  </si>
  <si>
    <t>Imported Water</t>
  </si>
  <si>
    <t>Nebraska Haigler Canal Return Flow To Main Stem</t>
  </si>
  <si>
    <t>Adjustment For Flood Flows</t>
  </si>
  <si>
    <t>Colorado Percent Of Allocation</t>
  </si>
  <si>
    <t>Kansas Percent Of Allocation</t>
  </si>
  <si>
    <t>Nebraska Percent Of Allocation</t>
  </si>
  <si>
    <t>Total Basin Allocation</t>
  </si>
  <si>
    <t>Percent Of Supply Not Allocated</t>
  </si>
  <si>
    <t>Quantity Of Unallocated Supply</t>
  </si>
  <si>
    <t>SW Diversions - M&amp;I - Colorado</t>
  </si>
  <si>
    <t>SW Diversions - M&amp;I - Nebraska</t>
  </si>
  <si>
    <t>SW Diversions - M&amp;I - Kansas</t>
  </si>
  <si>
    <t>SW Diversions - M&amp;I - Nebraska - Below Gage</t>
  </si>
  <si>
    <t xml:space="preserve">GW Depletion </t>
  </si>
  <si>
    <t>Total CU</t>
  </si>
  <si>
    <t>Mainstem Sub-Basin</t>
  </si>
  <si>
    <t>Surface Water Gages</t>
  </si>
  <si>
    <t>Canal Diversion Data</t>
  </si>
  <si>
    <t>Kansas Surface Water Data</t>
  </si>
  <si>
    <t>Nebraska Surface Water Data</t>
  </si>
  <si>
    <t>Calculations</t>
  </si>
  <si>
    <t>Percent Kansas Bostwick Diversions During Irrigation Season</t>
  </si>
  <si>
    <t>Net Evaporation From Lovewell Charged To Kansas</t>
  </si>
  <si>
    <t>90% Hugh Butler Lake Evap</t>
  </si>
  <si>
    <t>Red Willow Canal Return Flow To Mainstem</t>
  </si>
  <si>
    <t>Culbertson Canal Return Flow To Mainstem</t>
  </si>
  <si>
    <t>Culbertson Canal Extension Return Flow To Mainstem</t>
  </si>
  <si>
    <t>Haigler Canal Return Flow To Mainstem</t>
  </si>
  <si>
    <t>Meeker - Driftwood Canal Return Flow To Driftwood Creek</t>
  </si>
  <si>
    <t>Surface Water Constants</t>
  </si>
  <si>
    <t>GW CBCU Colorado</t>
  </si>
  <si>
    <t>GW CBCU Kansas</t>
  </si>
  <si>
    <t>GW CBCU Nebraska Above Guide Rock</t>
  </si>
  <si>
    <t>GW CBCU Nebraska Below Guide Rock</t>
  </si>
  <si>
    <t>GW CBCU Nebraska</t>
  </si>
  <si>
    <t>90% Red Willow Canal CBCU - Nebraska</t>
  </si>
  <si>
    <t>Arikaree River Sub-Basin</t>
  </si>
  <si>
    <t>Prairie Dog Creek Sub-Basin</t>
  </si>
  <si>
    <t xml:space="preserve">Total </t>
  </si>
  <si>
    <t>Sappa Creek Sub-Basin</t>
  </si>
  <si>
    <t>Beaver Creek Sub-Basin</t>
  </si>
  <si>
    <t>Medicine Creek Sub-Basin</t>
  </si>
  <si>
    <t>Red Willow Creek Sub-Basin</t>
  </si>
  <si>
    <t>Driftwood Creek Sub-Basin</t>
  </si>
  <si>
    <t>24% Meeker Driftwood Canal Return</t>
  </si>
  <si>
    <t>Frenchman Creek Sub-Basin</t>
  </si>
  <si>
    <t>South Fork Republican River Sub-Basin</t>
  </si>
  <si>
    <t>Rock Creek Sub-Basin</t>
  </si>
  <si>
    <t>Buffalo Creek Sub-Basin</t>
  </si>
  <si>
    <t>South Fork Subbasin</t>
  </si>
  <si>
    <t>SW Diversions - Irrigation - Small Pumps - Colorado</t>
  </si>
  <si>
    <t>SW Diversions - Irrigation - Non-Federal Canals - Nebraska</t>
  </si>
  <si>
    <t>SW Diversions - Irrigation - Non-Federal Canals- Kansas</t>
  </si>
  <si>
    <t>SW Diversions - Irrigation - Small Pumps - Kansas</t>
  </si>
  <si>
    <t>SW Diversions - Irrigation - Non-Federal Canals - Nebraska -Below Gage</t>
  </si>
  <si>
    <t>SW CBCU</t>
  </si>
  <si>
    <t>GW CBCU</t>
  </si>
  <si>
    <t>Total SW CBCU</t>
  </si>
  <si>
    <t>Total GW CBCU</t>
  </si>
  <si>
    <t>Total Basin CBCU</t>
  </si>
  <si>
    <t>Colorado CBCU</t>
  </si>
  <si>
    <t>Kansas CBCU</t>
  </si>
  <si>
    <t>Nebraska CBCU</t>
  </si>
  <si>
    <t>90% Red Willow Canal Return Flow To Main Stem</t>
  </si>
  <si>
    <t>SW CBCU Below The Gage</t>
  </si>
  <si>
    <t>Percent Nebraska Diversions During Irrigation Season</t>
  </si>
  <si>
    <t>Net Evaporation From Harlan County Reservoir Charged To Nebraska</t>
  </si>
  <si>
    <t>SW CBCU - Irrigation - Non Federal Canals</t>
  </si>
  <si>
    <t>SW CBCU - Irrigation - Small Pumps</t>
  </si>
  <si>
    <t>SW CBCU - M&amp;I</t>
  </si>
  <si>
    <t>Hale Ditch CBCU</t>
  </si>
  <si>
    <t>Total CBCU</t>
  </si>
  <si>
    <t>Driftwood Creek Near McCook</t>
  </si>
  <si>
    <t>SW Diversions - Irrigation - Small Pumps -Nebraska - Below Gage</t>
  </si>
  <si>
    <t>Non-Federal SW Consumptive Use</t>
  </si>
  <si>
    <t>Non-Federal Reservoir Evaporation - Colorado</t>
  </si>
  <si>
    <t>Non-Federal Reservoir Evaporation - Nebraska</t>
  </si>
  <si>
    <t>Non-Federal Reservoir Evaporation - Kansas</t>
  </si>
  <si>
    <t>Consumptive Use Calculations</t>
  </si>
  <si>
    <t>Location</t>
  </si>
  <si>
    <t>Pumping</t>
  </si>
  <si>
    <t>Mound</t>
  </si>
  <si>
    <t>Above Swanson</t>
  </si>
  <si>
    <t>Swanson - Harlan</t>
  </si>
  <si>
    <t>Harlan - Guide Rock</t>
  </si>
  <si>
    <t>Guide Rock - Hardy</t>
  </si>
  <si>
    <t>Hugh Butler</t>
  </si>
  <si>
    <t>Bonny</t>
  </si>
  <si>
    <t>Keith Sebelius</t>
  </si>
  <si>
    <t>Enders</t>
  </si>
  <si>
    <t>Harlan</t>
  </si>
  <si>
    <t>Harry Strunk</t>
  </si>
  <si>
    <t>Swanson</t>
  </si>
  <si>
    <t>Mainstem</t>
  </si>
  <si>
    <t>MS's 4 reaches + 2 reservoirs</t>
  </si>
  <si>
    <t>Imported Water Nebraska Above Guide Rock</t>
  </si>
  <si>
    <t>Imported Water Nebraska Below Guide Rock</t>
  </si>
  <si>
    <t>NE above Guide Rock</t>
  </si>
  <si>
    <t>Total of individual sub-basins</t>
  </si>
  <si>
    <t>Almena Canal Diversions</t>
  </si>
  <si>
    <t>Almena Canal % Return Flow</t>
  </si>
  <si>
    <t>SW Diversions - M&amp;I - Nebraska - Below Guide Rock</t>
  </si>
  <si>
    <t>SW Diversions - Irrigation - Non-Federal Canals - Nebraska Below Guide Rock</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</si>
  <si>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</si>
  <si>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</si>
  <si>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</si>
  <si>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</si>
  <si>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</si>
  <si>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</si>
  <si>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</si>
  <si>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</si>
  <si>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</si>
  <si>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</si>
  <si>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</si>
  <si>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</si>
  <si>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</si>
  <si>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</si>
  <si>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</si>
  <si>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</si>
  <si>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</si>
  <si>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</si>
  <si>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</si>
  <si>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</si>
  <si>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</si>
  <si>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</si>
  <si>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</si>
  <si>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</si>
  <si>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</si>
  <si>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</si>
  <si>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</si>
  <si>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</si>
  <si>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</si>
  <si>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</si>
  <si>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</si>
  <si>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</si>
  <si>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</si>
  <si>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</si>
  <si>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</si>
  <si>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</si>
  <si>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</si>
  <si>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</si>
  <si>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</si>
  <si>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</si>
  <si>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</si>
  <si>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</si>
  <si>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</si>
  <si>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</si>
  <si>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</si>
  <si>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</si>
  <si>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</si>
  <si>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</si>
  <si>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</si>
  <si>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</si>
  <si>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</si>
  <si>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</si>
  <si>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</si>
  <si>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</si>
  <si>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</si>
  <si>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</si>
  <si>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January</t>
  </si>
  <si>
    <t>February</t>
  </si>
  <si>
    <t>March</t>
  </si>
  <si>
    <t>April</t>
  </si>
  <si>
    <t>May</t>
  </si>
  <si>
    <t>June</t>
  </si>
  <si>
    <t>July</t>
  </si>
  <si>
    <t>August</t>
  </si>
  <si>
    <t>September</t>
  </si>
  <si>
    <t>October</t>
  </si>
  <si>
    <t>November</t>
  </si>
  <si>
    <t>December</t>
  </si>
  <si>
    <t>Diversion</t>
  </si>
  <si>
    <t>Superior Canal CBCU</t>
  </si>
  <si>
    <t>Franklin Pump Canal CBCU</t>
  </si>
  <si>
    <t>Franklin Canal CBCU</t>
  </si>
  <si>
    <t>Naponee Canal CBCU</t>
  </si>
  <si>
    <t>Meeker-Driftwood Canal CBCU</t>
  </si>
  <si>
    <t>NE Courtland Canal CBCU (includes transportation loss)</t>
  </si>
  <si>
    <t>CBCU Below Gage</t>
  </si>
  <si>
    <t xml:space="preserve">Total  </t>
  </si>
  <si>
    <t>CBCU Below Medicine Creek Gage</t>
  </si>
  <si>
    <t>CBCU Below Beaver Creek Gage</t>
  </si>
  <si>
    <t>CBCU Below Prairie Dog Gage</t>
  </si>
  <si>
    <t>CBCU Below Sappa Creek Gage</t>
  </si>
  <si>
    <t>NA</t>
  </si>
  <si>
    <t>Attachment 7: Calculations of Return Flows from Bureau of Reclamation Canals</t>
  </si>
  <si>
    <t>Col 1</t>
  </si>
  <si>
    <t>Col 2</t>
  </si>
  <si>
    <t>Col 3</t>
  </si>
  <si>
    <t>Col 4</t>
  </si>
  <si>
    <t>Col 5</t>
  </si>
  <si>
    <t>Col 6</t>
  </si>
  <si>
    <t>Col 7</t>
  </si>
  <si>
    <t>Col 8</t>
  </si>
  <si>
    <t>Col 9</t>
  </si>
  <si>
    <t>Col 10</t>
  </si>
  <si>
    <t>Col 11</t>
  </si>
  <si>
    <t xml:space="preserve">Canal </t>
  </si>
  <si>
    <t xml:space="preserve">Spill to </t>
  </si>
  <si>
    <t xml:space="preserve">Field </t>
  </si>
  <si>
    <t>Canal Loss</t>
  </si>
  <si>
    <t xml:space="preserve">Average </t>
  </si>
  <si>
    <t>Field Loss</t>
  </si>
  <si>
    <t>Total Loss</t>
  </si>
  <si>
    <t>Total return</t>
  </si>
  <si>
    <t>Return as</t>
  </si>
  <si>
    <t>Waste-Way</t>
  </si>
  <si>
    <t>Deliveries</t>
  </si>
  <si>
    <t>from District</t>
  </si>
  <si>
    <t>Percent Field</t>
  </si>
  <si>
    <t>to Stream</t>
  </si>
  <si>
    <t>Percent of</t>
  </si>
  <si>
    <t>Factor</t>
  </si>
  <si>
    <t>and Canal</t>
  </si>
  <si>
    <t>from Canal</t>
  </si>
  <si>
    <t>Loss That</t>
  </si>
  <si>
    <t>and Field</t>
  </si>
  <si>
    <t>Returns to</t>
  </si>
  <si>
    <t>the Stream</t>
  </si>
  <si>
    <t>Name Canal</t>
  </si>
  <si>
    <t>Headgate</t>
  </si>
  <si>
    <t>Sum of</t>
  </si>
  <si>
    <t xml:space="preserve">Sum of </t>
  </si>
  <si>
    <t>Col 2 - Col 4</t>
  </si>
  <si>
    <t>1 -Weighted</t>
  </si>
  <si>
    <t>Col 4 x</t>
  </si>
  <si>
    <t>Col 5 +</t>
  </si>
  <si>
    <t xml:space="preserve">Estimated </t>
  </si>
  <si>
    <t>Col 8 x</t>
  </si>
  <si>
    <t>Col 10/Col 2</t>
  </si>
  <si>
    <t>measured</t>
  </si>
  <si>
    <t>Deliveries to</t>
  </si>
  <si>
    <t>Percent Loss*</t>
  </si>
  <si>
    <t>spills to river</t>
  </si>
  <si>
    <t>the field</t>
  </si>
  <si>
    <t>Efficiency of</t>
  </si>
  <si>
    <t>Application</t>
  </si>
  <si>
    <t>System for</t>
  </si>
  <si>
    <t>the District*</t>
  </si>
  <si>
    <t>Example</t>
  </si>
  <si>
    <t>Culbertson</t>
  </si>
  <si>
    <t>Culbertson Extension</t>
  </si>
  <si>
    <t>Meeker - Driftwood</t>
  </si>
  <si>
    <t>Bartley</t>
  </si>
  <si>
    <t>Cambridge</t>
  </si>
  <si>
    <t>Naponee</t>
  </si>
  <si>
    <t>Franklin</t>
  </si>
  <si>
    <t>Franklin Pump</t>
  </si>
  <si>
    <t>Almena</t>
  </si>
  <si>
    <t>Superior</t>
  </si>
  <si>
    <t>Courtland Canal Below Lovewell</t>
  </si>
  <si>
    <t>* The average field efficiencies for each district and percent loss that returns to the stream may be reviewed and, if necessary, changed by the RRCA to improve the accuracy of the estimates.</t>
  </si>
  <si>
    <t>Attachment 6: Computing Water Supplies and Consumptive Use Above Guide Rock</t>
  </si>
  <si>
    <t xml:space="preserve">Lovewell Reservoir Ev charged to the Republican River </t>
  </si>
  <si>
    <t>Courtland Canal Above Lovewell CBCU</t>
  </si>
  <si>
    <t>Courtland Canal Below Lovewell CBCU</t>
  </si>
  <si>
    <t>Non-Federal Reservoir Evaporation Data</t>
  </si>
  <si>
    <t>Non-Federal Reservoir Evaporation - Nebraska - Below Gage</t>
  </si>
  <si>
    <t>Last update:</t>
  </si>
  <si>
    <t>% Non-Federal Canal Diversion Consumed</t>
  </si>
  <si>
    <t>% Small Surface Water Pumps Consumed</t>
  </si>
  <si>
    <t>%  Municipal And Industrial SW Consumed</t>
  </si>
  <si>
    <t>SW Diversions - Irrigation -Non-Federal Canals- Colorado</t>
  </si>
  <si>
    <t>SW Diversions - Irrigation - Small Pumps - Nebraska</t>
  </si>
  <si>
    <t>SW Diversions - Irrigation - Small Pumps - Nebraska Below Guide Rock</t>
  </si>
  <si>
    <t>17% Culbertson Canal Return Flow to Main Stem</t>
  </si>
  <si>
    <t>100% Culbertson Canal Extension Return Flow to Main Stem</t>
  </si>
  <si>
    <r>
      <t xml:space="preserve">SW Diversions - Irrigation - </t>
    </r>
    <r>
      <rPr>
        <sz val="10"/>
        <rFont val="Arial"/>
        <family val="0"/>
      </rPr>
      <t>Small Pumps -Nebraska - Below Gage</t>
    </r>
  </si>
  <si>
    <r>
      <t xml:space="preserve">Return Flow </t>
    </r>
    <r>
      <rPr>
        <sz val="10"/>
        <rFont val="Arial"/>
        <family val="0"/>
      </rPr>
      <t>From Courtland Canal To Republican River Above Hardy From Kansas</t>
    </r>
  </si>
  <si>
    <r>
      <t xml:space="preserve">Net Evaporation From Harlan </t>
    </r>
    <r>
      <rPr>
        <sz val="10"/>
        <rFont val="Arial"/>
        <family val="0"/>
      </rPr>
      <t>County Reservoir Charged To Kansas</t>
    </r>
  </si>
  <si>
    <t>Courtland Canal Diversions to the Upper Courtland District</t>
  </si>
  <si>
    <t>Nebraska Courtland</t>
  </si>
  <si>
    <t>Courtland Canal Above Lovewell (KS)</t>
  </si>
  <si>
    <t>Diversions to Nebraska Courtland</t>
  </si>
  <si>
    <t>Nebraska Courtland % Return Flow</t>
  </si>
  <si>
    <t>Courtland Canal, Loss in NE assigned to upper Courtland KS</t>
  </si>
  <si>
    <t xml:space="preserve">Courtland Canal, Loss in NE assigned to delivery to Lovewell </t>
  </si>
  <si>
    <t>Courtland Canal, Loss assigned to deliveries of water to Lovewell, Stateline to Lovewell</t>
  </si>
  <si>
    <t>To allocate Harlan County evaporation:</t>
  </si>
  <si>
    <t>Diversions of Republican River water from Lovewell Reservoir to the Courtland Canal below Lovewell</t>
  </si>
  <si>
    <t>Courtland Canal Transportation Loss in NE assigned to the Upper Courtland KS that does not recharge</t>
  </si>
  <si>
    <t>Courtland Canal Transportation Loss in NE assigned to deliveries to Lovewell that does not recharge</t>
  </si>
  <si>
    <t>Courtland Canal Transportation Loss from the Stateline to Lovewell that does not return</t>
  </si>
  <si>
    <t>Non-Federal Reservoir Evaporation</t>
  </si>
  <si>
    <t>Total Mainstem CWS</t>
  </si>
  <si>
    <t>Return Flow From Courtland Canal To Republican River Above Hardy From Nebraska</t>
  </si>
  <si>
    <t>SW Return - Irrigation</t>
  </si>
  <si>
    <t>SW Return - M&amp;I</t>
  </si>
  <si>
    <t>KANSAS</t>
  </si>
  <si>
    <t xml:space="preserve">Republican River Compact Administration </t>
  </si>
  <si>
    <t>Unused Allocation from Colorado (5-year running average)</t>
  </si>
  <si>
    <t>Total Available Supply (5-year running average)</t>
  </si>
  <si>
    <t>Table 5E: Nebraska's Tributary Compliance During Water-Short Year Administration</t>
  </si>
  <si>
    <t>Table 5D: Nebraska's Compliance Under a Alternative Water-Short Year Administration Plan</t>
  </si>
  <si>
    <t>Allocation - (CBCU - IWS)</t>
  </si>
  <si>
    <t>Allocation - (CBCU - IWS Credit)</t>
  </si>
  <si>
    <t>Allocation - (CBCU - IWS above Guide Rock)</t>
  </si>
  <si>
    <t>Diversion and Delivery Data are from following USBR files:</t>
  </si>
  <si>
    <t>Rows 17 &amp; 18:</t>
  </si>
  <si>
    <t>F-VAL3MWD.XLS</t>
  </si>
  <si>
    <t>Rows 19 - 22:</t>
  </si>
  <si>
    <t>F-CAMB3MWD.XLS</t>
  </si>
  <si>
    <t>Rows 23 - 25, 27 - 28:</t>
  </si>
  <si>
    <t>NE-BOST3MWD.XLS</t>
  </si>
  <si>
    <t>Row 26:</t>
  </si>
  <si>
    <t>Rows 29 - 30::</t>
  </si>
  <si>
    <t>KS-BOST3MWD.XLS</t>
  </si>
  <si>
    <t>Nebraska Bostwick Diversions During Irrigation Season (2001-2003 average, no diverison in 2004)</t>
  </si>
  <si>
    <t xml:space="preserve">Attachment 6 </t>
  </si>
  <si>
    <t>Column L formula corrected to avoid double-counting for BCU below Guide Rock</t>
  </si>
  <si>
    <t>Column headings for Columns N. O. and P are corrected</t>
  </si>
  <si>
    <t>Operating sign in Column N was corrected to be a minus.</t>
  </si>
  <si>
    <t>Column cell reference in Column O corrected.</t>
  </si>
  <si>
    <t>Table 5C</t>
  </si>
  <si>
    <t>Links to T1, Attachment 6, and GM_output sheets are provided.</t>
  </si>
  <si>
    <t>Need Information from Kansas</t>
  </si>
  <si>
    <t xml:space="preserve"> </t>
  </si>
  <si>
    <t>2006 Updates</t>
  </si>
  <si>
    <t xml:space="preserve">Attachment 7 </t>
  </si>
  <si>
    <t>updated</t>
  </si>
  <si>
    <t xml:space="preserve">CoutlandAvLove </t>
  </si>
  <si>
    <t>Data Source: cout wrk sht 05.XLS from the BOR</t>
  </si>
  <si>
    <t>Impacts 2005 (acre-feet)</t>
  </si>
  <si>
    <t>Impact 2005</t>
  </si>
  <si>
    <t>Sum</t>
  </si>
  <si>
    <t>NE Non-Fedearl reservoir Evap</t>
  </si>
  <si>
    <t>NE Canal Diversion</t>
  </si>
  <si>
    <t>RRCA AccountingFor2005(June14, 2006).xls</t>
  </si>
  <si>
    <t>RRCA AccountingFor2005.xls</t>
  </si>
  <si>
    <t>Formating according to the KS RRCA Accounting for 2005 first guess.xls</t>
  </si>
  <si>
    <r>
      <t xml:space="preserve">Harlan County Evaporation Charged To Nebraska (2001-2003 average, no diversion in </t>
    </r>
    <r>
      <rPr>
        <b/>
        <sz val="10"/>
        <rFont val="Arial"/>
        <family val="2"/>
      </rPr>
      <t>2005</t>
    </r>
    <r>
      <rPr>
        <sz val="10"/>
        <rFont val="Arial"/>
        <family val="0"/>
      </rPr>
      <t>)</t>
    </r>
  </si>
  <si>
    <t>KS Surface Water Pumping data</t>
  </si>
  <si>
    <t>Updated</t>
  </si>
  <si>
    <t xml:space="preserve">Stream Flow Data </t>
  </si>
  <si>
    <t>Refined with USGS Data Provided by Soenksen</t>
  </si>
  <si>
    <t>Reservoir Name</t>
  </si>
  <si>
    <t>Gross Evaporation</t>
  </si>
  <si>
    <t>Net Evaporation</t>
  </si>
  <si>
    <t>Enders Reservoir</t>
  </si>
  <si>
    <t>Harlan County Lake</t>
  </si>
  <si>
    <t>Harry Strunk Lake</t>
  </si>
  <si>
    <t>Hugh Butler Lake</t>
  </si>
  <si>
    <t>Swanson Lake</t>
  </si>
  <si>
    <t>Bonny Reservoir</t>
  </si>
  <si>
    <t>Keith Sebelius Lake</t>
  </si>
  <si>
    <t>Lovewell Reservoir</t>
  </si>
  <si>
    <t>[Acre-feet]</t>
  </si>
  <si>
    <t>Net / Gross</t>
  </si>
  <si>
    <t>[%]</t>
  </si>
  <si>
    <t>Federal Reservoir Net Evaporation</t>
  </si>
  <si>
    <t>Source of Data:</t>
  </si>
  <si>
    <t>This table is copied from the NetEvap sheet of ReservoirNetEvap05.xls,</t>
  </si>
  <si>
    <t>which is prepared by the State of Nebraska.</t>
  </si>
  <si>
    <t>Federal Reservoir Storage Change</t>
  </si>
  <si>
    <t xml:space="preserve">Storage Change </t>
  </si>
  <si>
    <t>This table is copied from the Summary sheet of ResStorChange05.xls,</t>
  </si>
  <si>
    <t>AF</t>
  </si>
  <si>
    <t>%</t>
  </si>
  <si>
    <t>Diversions during Release Season</t>
  </si>
  <si>
    <t>Harlan County Lake Net Evaporation Split</t>
  </si>
  <si>
    <t>This table is copied from the Summary sheet of HClake_Split_200505.xls,</t>
  </si>
  <si>
    <t>For 2005, the KS and NE diversion values are average of 2001, 2002, and 2003 values,</t>
  </si>
  <si>
    <t>since no diversion in 2005.</t>
  </si>
  <si>
    <t>Kansas Bostwick Diversions During Irrigation Season (2001-2003 average, no diversion in 2005)</t>
  </si>
  <si>
    <t>Nebraska Bostwick Diversions During Irrigation Season (2001-2003 average, no diversion in 2005)</t>
  </si>
  <si>
    <t>RRCA AccountingFor2005(June22, 2006NE).xls</t>
  </si>
  <si>
    <t>Reservoir Data linked to the Fed_Reservoir sheet</t>
  </si>
  <si>
    <t>Lovewell Reservoir Evap charged to the Republican River updated.</t>
  </si>
  <si>
    <t>Starting workbook name: RRCA Accounting for 2004_Sept06_2005.xls    By NDNR</t>
  </si>
  <si>
    <t>Megan added CO data</t>
  </si>
  <si>
    <t>D. Barfield added Willem's 7/31 model results</t>
  </si>
  <si>
    <t>Year 1</t>
  </si>
  <si>
    <t>Year 2</t>
  </si>
  <si>
    <t>Year 3</t>
  </si>
  <si>
    <t>Year 4</t>
  </si>
  <si>
    <t>Year 5</t>
  </si>
  <si>
    <t>Unallocated Supply</t>
  </si>
  <si>
    <t xml:space="preserve">Imported Water Supply Credit </t>
  </si>
  <si>
    <t xml:space="preserve">Computed Beneficial Consumptive Use </t>
  </si>
  <si>
    <t>Colorado detail</t>
  </si>
  <si>
    <t>Kansas detail</t>
  </si>
  <si>
    <t xml:space="preserve">Unused Allocation from Colorado </t>
  </si>
  <si>
    <t xml:space="preserve">Total Available Supply </t>
  </si>
  <si>
    <t xml:space="preserve">Impact 2005 updated, </t>
  </si>
  <si>
    <t>NE non-federal Reservoir net evaporation data updated, the NFR above Guide Rock moved from North Fork to Mainstem subbasin</t>
  </si>
  <si>
    <t>White Rock Creek related rows in INPUT and MAINSTEM sheets are deleted</t>
  </si>
  <si>
    <t>BureauT2 sheet was also deleted, since Net Evaporation of Lovewell Lake Charged to Republican River is computed outside now.</t>
  </si>
  <si>
    <t>T3 linked to T1</t>
  </si>
  <si>
    <t>Impacts 2003 (acre-feet)</t>
  </si>
  <si>
    <t>Impacts 2004 (acre-feet)</t>
  </si>
  <si>
    <t>T5A, T5B,E updated (NOT sure if they are done corrrectly???)</t>
  </si>
  <si>
    <t>Courtland Canal Deliveries to Lovewell Reservoir correctly linked to CoutlandAvLove sheet, even though it is no longer used.</t>
  </si>
  <si>
    <t>GW Imapcts 2003 and 2004 are added into the GM_Output sheet and linked to the related table.</t>
  </si>
  <si>
    <t>Clean up of temporary work</t>
  </si>
  <si>
    <t>Previous Years' computations for multi-year tests</t>
  </si>
  <si>
    <r>
      <t xml:space="preserve">Mainstem VWS Above </t>
    </r>
    <r>
      <rPr>
        <sz val="10"/>
        <color indexed="8"/>
        <rFont val="Arial"/>
        <family val="2"/>
      </rPr>
      <t>Guide Rock</t>
    </r>
  </si>
  <si>
    <r>
      <t xml:space="preserve">NE MS Allocation Above </t>
    </r>
    <r>
      <rPr>
        <sz val="10"/>
        <color indexed="8"/>
        <rFont val="Arial"/>
        <family val="2"/>
      </rPr>
      <t>Guide Rock</t>
    </r>
  </si>
  <si>
    <r>
      <t xml:space="preserve">KS MS Allocation Above </t>
    </r>
    <r>
      <rPr>
        <sz val="10"/>
        <color indexed="8"/>
        <rFont val="Arial"/>
        <family val="2"/>
      </rPr>
      <t>Guide Rock</t>
    </r>
  </si>
  <si>
    <t xml:space="preserve">   This data is used in subsequent multi-year Tables in the spreadsheet.</t>
  </si>
  <si>
    <t xml:space="preserve">Table 4A, 4B page - Added detail below the existing tables to allow computation of the multi-year average based on this data. </t>
  </si>
  <si>
    <t xml:space="preserve">Table 1. Added to the Table 1 page results for 2003 and 2004 and provided a place for the 2005-2007 Table 1 data. </t>
  </si>
  <si>
    <t xml:space="preserve">   These detail tables pull data from the Table 1 data added as referenced in the note above.</t>
  </si>
  <si>
    <t>Table 5A - added formulas pointing to Table 1 page</t>
  </si>
  <si>
    <t>Tables 5B &amp; 5E - deleted 3 years of data so they represent 2 year averages</t>
  </si>
  <si>
    <t>Non-Federal Reservoir Evaporation - Nebraska - Above Guide Rock Gage - Whole Basin Value:</t>
  </si>
  <si>
    <t>Non-Federal Reservoir Evaporation - Nebraska - Below Guide Rock Gage - Whole Basin Value:</t>
  </si>
  <si>
    <t>SW Non-Federal Reservoir Evaporation - Below Guide Rock</t>
  </si>
  <si>
    <t>This is being done by agreement for Commission Meeting on 8-9-06</t>
  </si>
  <si>
    <t>The need for below Harlan Non-Federal Res. Evap. Is still under discussion</t>
  </si>
  <si>
    <t>As such, the Non-Federal Res. Evap. Input Sheet values reflect whole basin in Nebr.</t>
  </si>
  <si>
    <t>Changed cells are in red font for easy identification</t>
  </si>
  <si>
    <t>Compare to RRCA AccountingFor2005 (August 6 2006 KS).xls as the base for this Spreadsheet</t>
  </si>
  <si>
    <t>Amended Attachment 6 for Below Guide Rock Non-Federal Reservoir Evaporation</t>
  </si>
  <si>
    <t>RRCA Accounting for 2005 w NFR evap entire basin.xls</t>
  </si>
  <si>
    <t>Negative numbers represent the residual accounting impacts from groundwater well pumping. Reference RRCA accounting user's manual for comprehensive explanation.</t>
  </si>
  <si>
    <t>Compact Accounting for 2005 with non-federal reservoir evaporation below Harlan County</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</si>
</sst>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dd\-mmm\-yy"/>
    <numFmt numFmtId="168" formatCode="0.000000"/>
    <numFmt numFmtId="169" formatCode="0.00000"/>
    <numFmt numFmtId="170" formatCode="0.0000"/>
    <numFmt numFmtId="171" formatCode="0.0"/>
    <numFmt numFmtId="172" formatCode="0.000%"/>
    <numFmt numFmtId="173" formatCode="_(* #,##0.0_);_(* \(#,##0.0\);_(* &quot;-&quot;??_);_(@_)"/>
    <numFmt numFmtId="174" formatCode="_(* #,##0_);_(* \(#,##0\);_(* &quot;-&quot;??_);_(@_)"/>
    <numFmt numFmtId="175" formatCode="_(* #,##0.000_);_(* \(#,##0.000\);_(* &quot;-&quot;??_);_(@_)"/>
    <numFmt numFmtId="176" formatCode="0.0000000000"/>
    <numFmt numFmtId="177" formatCode="0.000000000"/>
    <numFmt numFmtId="178" formatCode="0.00000000"/>
    <numFmt numFmtId="179" formatCode="0.0000000"/>
    <numFmt numFmtId="180" formatCode="_(* #,##0.000_);_(* \(#,##0.000\);_(* &quot;-&quot;???_);_(@_)"/>
    <numFmt numFmtId="181" formatCode="#,##0.0_);[Red]\(#,##0.0\)"/>
    <numFmt numFmtId="182" formatCode="&quot;Yes&quot;;&quot;Yes&quot;;&quot;No&quot;"/>
    <numFmt numFmtId="183" formatCode="&quot;True&quot;;&quot;True&quot;;&quot;False&quot;"/>
    <numFmt numFmtId="184" formatCode="&quot;On&quot;;&quot;On&quot;;&quot;Off&quot;"/>
    <numFmt numFmtId="185" formatCode="[$€-2]\ #,##0.00_);[Red]\([$€-2]\ #,##0.00\)"/>
    <numFmt numFmtId="186" formatCode="[$-409]dddd\,\ mmmm\ dd\,\ yyyy"/>
  </numFmts>
  <fonts count="31">
    <font>
      <sz val="10"/>
      <name val="Arial"/>
      <family val="0"/>
    </font>
    <font>
      <u val="single"/>
      <sz val="10"/>
      <color indexed="36"/>
      <name val="Arial"/>
      <family val="0"/>
    </font>
    <font>
      <u val="single"/>
      <sz val="10"/>
      <color indexed="12"/>
      <name val="Arial"/>
      <family val="0"/>
    </font>
    <font>
      <b/>
      <sz val="10"/>
      <name val="Arial"/>
      <family val="2"/>
    </font>
    <font>
      <b/>
      <sz val="12"/>
      <name val="Arial"/>
      <family val="2"/>
    </font>
    <font>
      <sz val="12"/>
      <name val="Arial"/>
      <family val="2"/>
    </font>
    <font>
      <sz val="9"/>
      <name val="Arial"/>
      <family val="2"/>
    </font>
    <font>
      <b/>
      <sz val="9"/>
      <name val="Arial"/>
      <family val="2"/>
    </font>
    <font>
      <sz val="8"/>
      <name val="Arial"/>
      <family val="2"/>
    </font>
    <font>
      <strike/>
      <sz val="10"/>
      <color indexed="10"/>
      <name val="Arial"/>
      <family val="2"/>
    </font>
    <font>
      <sz val="10"/>
      <color indexed="57"/>
      <name val="Arial"/>
      <family val="2"/>
    </font>
    <font>
      <b/>
      <sz val="24"/>
      <name val="Arial"/>
      <family val="0"/>
    </font>
    <font>
      <b/>
      <sz val="10"/>
      <color indexed="8"/>
      <name val="Arial"/>
      <family val="2"/>
    </font>
    <font>
      <sz val="11"/>
      <name val="Arial MT"/>
      <family val="0"/>
    </font>
    <font>
      <b/>
      <sz val="11"/>
      <name val="Arial MT"/>
      <family val="0"/>
    </font>
    <font>
      <sz val="11"/>
      <name val="Arial"/>
      <family val="0"/>
    </font>
    <font>
      <b/>
      <sz val="16"/>
      <name val="Arial"/>
      <family val="2"/>
    </font>
    <font>
      <sz val="16"/>
      <name val="Arial"/>
      <family val="2"/>
    </font>
    <font>
      <b/>
      <i/>
      <sz val="10"/>
      <name val="Arial"/>
      <family val="2"/>
    </font>
    <font>
      <sz val="10"/>
      <color indexed="61"/>
      <name val="Arial"/>
      <family val="0"/>
    </font>
    <font>
      <sz val="10"/>
      <color indexed="8"/>
      <name val="Arial"/>
      <family val="0"/>
    </font>
    <font>
      <b/>
      <sz val="12"/>
      <name val="Times New Roman"/>
      <family val="1"/>
    </font>
    <font>
      <sz val="10"/>
      <color indexed="10"/>
      <name val="Arial"/>
      <family val="0"/>
    </font>
    <font>
      <sz val="11"/>
      <color indexed="12"/>
      <name val="Arial MT"/>
      <family val="0"/>
    </font>
    <font>
      <sz val="14"/>
      <name val="Times New Roman"/>
      <family val="1"/>
    </font>
    <font>
      <b/>
      <sz val="14"/>
      <name val="Times New Roman"/>
      <family val="1"/>
    </font>
    <font>
      <b/>
      <sz val="18"/>
      <name val="Times New Roman"/>
      <family val="1"/>
    </font>
    <font>
      <b/>
      <sz val="16"/>
      <name val="Times New Roman"/>
      <family val="1"/>
    </font>
    <font>
      <sz val="14"/>
      <name val="Arial"/>
      <family val="0"/>
    </font>
    <font>
      <sz val="12"/>
      <name val="Times New Roman"/>
      <family val="1"/>
    </font>
    <font>
      <b/>
      <sz val="10"/>
      <color indexed="10"/>
      <name val="Arial"/>
      <family val="2"/>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s>
  <borders count="38">
    <border>
      <left/>
      <right/>
      <top/>
      <bottom/>
      <diagonal/>
    </border>
    <border>
      <left style="thin"/>
      <right style="thin"/>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color indexed="63"/>
      </right>
      <top style="thin"/>
      <bottom style="thin"/>
    </border>
    <border>
      <left style="thin"/>
      <right style="thin"/>
      <top>
        <color indexed="63"/>
      </top>
      <bottom style="double"/>
    </border>
    <border>
      <left style="thin"/>
      <right style="thin"/>
      <top style="thin"/>
      <bottom style="dashed"/>
    </border>
    <border>
      <left style="thin"/>
      <right style="thin"/>
      <top style="dashed"/>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medium">
        <color indexed="8"/>
      </top>
      <bottom>
        <color indexed="63"/>
      </bottom>
    </border>
    <border>
      <left style="thin">
        <color indexed="8"/>
      </left>
      <right>
        <color indexed="63"/>
      </right>
      <top style="medium">
        <color indexed="8"/>
      </top>
      <bottom style="double">
        <color indexed="8"/>
      </bottom>
    </border>
    <border>
      <left style="medium">
        <color indexed="8"/>
      </left>
      <right>
        <color indexed="63"/>
      </right>
      <top style="medium">
        <color indexed="8"/>
      </top>
      <bottom style="double">
        <color indexed="8"/>
      </bottom>
    </border>
    <border>
      <left style="thin">
        <color indexed="8"/>
      </left>
      <right style="medium">
        <color indexed="8"/>
      </right>
      <top style="medium">
        <color indexed="8"/>
      </top>
      <bottom style="double">
        <color indexed="8"/>
      </bottom>
    </border>
    <border>
      <left style="thin">
        <color indexed="8"/>
      </left>
      <right>
        <color indexed="63"/>
      </right>
      <top style="double">
        <color indexed="8"/>
      </top>
      <bottom>
        <color indexed="63"/>
      </bottom>
    </border>
    <border>
      <left style="medium">
        <color indexed="8"/>
      </left>
      <right>
        <color indexed="63"/>
      </right>
      <top style="double">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365">
    <xf numFmtId="0" fontId="0" fillId="0" borderId="0" xfId="0" applyAlignment="1">
      <alignment/>
    </xf>
    <xf numFmtId="0" fontId="0" fillId="0" borderId="0" xfId="0" applyBorder="1" applyAlignment="1">
      <alignment/>
    </xf>
    <xf numFmtId="0" fontId="0" fillId="0" borderId="1" xfId="0" applyBorder="1" applyAlignment="1">
      <alignment/>
    </xf>
    <xf numFmtId="0" fontId="3" fillId="0" borderId="0" xfId="0" applyFont="1" applyAlignment="1">
      <alignment/>
    </xf>
    <xf numFmtId="1" fontId="0" fillId="0" borderId="1" xfId="0" applyNumberFormat="1" applyBorder="1" applyAlignment="1">
      <alignment/>
    </xf>
    <xf numFmtId="0" fontId="3" fillId="0" borderId="1" xfId="0" applyFont="1" applyBorder="1" applyAlignment="1">
      <alignment/>
    </xf>
    <xf numFmtId="0" fontId="0" fillId="2" borderId="1" xfId="0" applyFill="1" applyBorder="1" applyAlignment="1" applyProtection="1">
      <alignment horizontal="left"/>
      <protection/>
    </xf>
    <xf numFmtId="164" fontId="0" fillId="0" borderId="0" xfId="0" applyNumberFormat="1" applyAlignment="1">
      <alignment/>
    </xf>
    <xf numFmtId="0" fontId="3" fillId="0" borderId="1" xfId="0" applyFont="1" applyBorder="1" applyAlignment="1">
      <alignment horizontal="left"/>
    </xf>
    <xf numFmtId="0" fontId="0" fillId="0" borderId="1" xfId="0" applyFill="1" applyBorder="1" applyAlignment="1">
      <alignment/>
    </xf>
    <xf numFmtId="0" fontId="4" fillId="0" borderId="1" xfId="0" applyFont="1" applyBorder="1" applyAlignment="1">
      <alignment/>
    </xf>
    <xf numFmtId="0" fontId="4" fillId="0" borderId="1" xfId="0" applyFont="1" applyBorder="1" applyAlignment="1">
      <alignment horizontal="left"/>
    </xf>
    <xf numFmtId="0" fontId="0" fillId="0" borderId="1" xfId="0" applyFont="1" applyBorder="1" applyAlignment="1">
      <alignment horizontal="left"/>
    </xf>
    <xf numFmtId="0" fontId="5" fillId="0" borderId="1" xfId="0" applyFont="1" applyBorder="1" applyAlignment="1">
      <alignment/>
    </xf>
    <xf numFmtId="0" fontId="3" fillId="0" borderId="0" xfId="0" applyFont="1" applyBorder="1" applyAlignment="1">
      <alignment/>
    </xf>
    <xf numFmtId="164" fontId="0" fillId="0" borderId="1" xfId="22" applyNumberFormat="1" applyBorder="1" applyAlignment="1">
      <alignment/>
    </xf>
    <xf numFmtId="0" fontId="0" fillId="0" borderId="1" xfId="0" applyFont="1" applyBorder="1" applyAlignment="1">
      <alignment/>
    </xf>
    <xf numFmtId="0" fontId="0" fillId="0" borderId="0" xfId="0" applyFill="1" applyAlignment="1">
      <alignment/>
    </xf>
    <xf numFmtId="9" fontId="0" fillId="0" borderId="1" xfId="0" applyNumberFormat="1" applyBorder="1" applyAlignment="1">
      <alignment/>
    </xf>
    <xf numFmtId="0" fontId="6" fillId="0" borderId="2" xfId="0" applyFont="1" applyBorder="1" applyAlignment="1">
      <alignment horizontal="center"/>
    </xf>
    <xf numFmtId="0" fontId="6" fillId="0" borderId="1"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vertical="center" wrapText="1"/>
    </xf>
    <xf numFmtId="3" fontId="6" fillId="0" borderId="1" xfId="0" applyNumberFormat="1" applyFont="1" applyBorder="1" applyAlignment="1">
      <alignment horizontal="center" vertical="center"/>
    </xf>
    <xf numFmtId="3" fontId="6" fillId="0" borderId="3" xfId="0" applyNumberFormat="1" applyFont="1" applyBorder="1" applyAlignment="1">
      <alignment horizontal="center" vertical="center"/>
    </xf>
    <xf numFmtId="3" fontId="6" fillId="0" borderId="4" xfId="0" applyNumberFormat="1" applyFont="1" applyBorder="1" applyAlignment="1">
      <alignment horizontal="center" vertical="center"/>
    </xf>
    <xf numFmtId="0" fontId="6" fillId="0" borderId="1" xfId="0" applyFont="1" applyBorder="1" applyAlignment="1">
      <alignment horizontal="center"/>
    </xf>
    <xf numFmtId="0" fontId="7" fillId="0" borderId="5" xfId="0" applyFont="1" applyBorder="1" applyAlignment="1">
      <alignment horizontal="center"/>
    </xf>
    <xf numFmtId="1" fontId="0" fillId="0" borderId="1" xfId="0" applyNumberFormat="1" applyFill="1" applyBorder="1" applyAlignment="1">
      <alignment/>
    </xf>
    <xf numFmtId="0" fontId="6" fillId="0" borderId="1" xfId="0" applyFont="1" applyBorder="1" applyAlignment="1">
      <alignment horizontal="center" wrapText="1"/>
    </xf>
    <xf numFmtId="0" fontId="6" fillId="0" borderId="1" xfId="0" applyFont="1" applyBorder="1" applyAlignment="1">
      <alignment vertical="center" wrapText="1"/>
    </xf>
    <xf numFmtId="3" fontId="6" fillId="0" borderId="1" xfId="0" applyNumberFormat="1" applyFont="1" applyBorder="1" applyAlignment="1">
      <alignment horizontal="center" wrapText="1"/>
    </xf>
    <xf numFmtId="3" fontId="0" fillId="0" borderId="0" xfId="0" applyNumberFormat="1" applyAlignment="1">
      <alignment/>
    </xf>
    <xf numFmtId="164" fontId="6" fillId="0" borderId="1" xfId="0" applyNumberFormat="1" applyFont="1" applyBorder="1" applyAlignment="1">
      <alignment horizontal="center" wrapText="1"/>
    </xf>
    <xf numFmtId="164" fontId="6" fillId="0" borderId="1" xfId="0" applyNumberFormat="1" applyFont="1" applyBorder="1" applyAlignment="1">
      <alignment horizontal="center" vertical="center"/>
    </xf>
    <xf numFmtId="164" fontId="6" fillId="0" borderId="3" xfId="0" applyNumberFormat="1" applyFont="1" applyBorder="1" applyAlignment="1">
      <alignment horizontal="center" vertical="center"/>
    </xf>
    <xf numFmtId="164" fontId="6" fillId="0" borderId="4" xfId="0" applyNumberFormat="1" applyFont="1" applyBorder="1" applyAlignment="1">
      <alignment horizontal="center" vertical="center"/>
    </xf>
    <xf numFmtId="0" fontId="0" fillId="0" borderId="0" xfId="0" applyAlignment="1">
      <alignment horizontal="left"/>
    </xf>
    <xf numFmtId="0" fontId="0" fillId="0" borderId="1" xfId="0" applyBorder="1" applyAlignment="1">
      <alignment horizontal="center" wrapText="1"/>
    </xf>
    <xf numFmtId="0" fontId="0" fillId="0" borderId="1" xfId="0" applyBorder="1" applyAlignment="1">
      <alignment horizontal="center" vertical="center"/>
    </xf>
    <xf numFmtId="0" fontId="0" fillId="0" borderId="3" xfId="0" applyBorder="1" applyAlignment="1">
      <alignment horizontal="center" vertical="center"/>
    </xf>
    <xf numFmtId="3" fontId="0" fillId="0" borderId="3" xfId="0" applyNumberFormat="1" applyBorder="1" applyAlignment="1">
      <alignment horizontal="center" vertical="center"/>
    </xf>
    <xf numFmtId="0" fontId="0" fillId="0" borderId="4" xfId="0" applyBorder="1" applyAlignment="1">
      <alignment horizontal="center" vertical="center"/>
    </xf>
    <xf numFmtId="3" fontId="0" fillId="0" borderId="1" xfId="0" applyNumberFormat="1" applyBorder="1" applyAlignment="1">
      <alignment horizontal="center" vertical="center"/>
    </xf>
    <xf numFmtId="3" fontId="0" fillId="0" borderId="4" xfId="0" applyNumberFormat="1" applyBorder="1" applyAlignment="1">
      <alignment horizontal="center" vertical="center"/>
    </xf>
    <xf numFmtId="3" fontId="0" fillId="0" borderId="6" xfId="0" applyNumberFormat="1" applyBorder="1" applyAlignment="1">
      <alignment horizontal="center" vertical="center"/>
    </xf>
    <xf numFmtId="0" fontId="0" fillId="0" borderId="2" xfId="0" applyBorder="1" applyAlignment="1">
      <alignment horizontal="center" vertical="center"/>
    </xf>
    <xf numFmtId="3" fontId="0" fillId="0" borderId="2" xfId="0" applyNumberFormat="1" applyBorder="1" applyAlignment="1">
      <alignment horizontal="center" vertical="center"/>
    </xf>
    <xf numFmtId="0" fontId="3" fillId="2" borderId="1" xfId="0" applyFont="1" applyFill="1" applyBorder="1" applyAlignment="1" applyProtection="1">
      <alignment horizontal="left"/>
      <protection/>
    </xf>
    <xf numFmtId="0" fontId="0" fillId="0" borderId="0" xfId="0" applyAlignment="1">
      <alignment wrapText="1"/>
    </xf>
    <xf numFmtId="0" fontId="8" fillId="0" borderId="0" xfId="0" applyFont="1" applyAlignment="1">
      <alignment/>
    </xf>
    <xf numFmtId="0" fontId="0" fillId="3" borderId="1" xfId="0" applyFill="1" applyBorder="1" applyAlignment="1">
      <alignment/>
    </xf>
    <xf numFmtId="0" fontId="0" fillId="4" borderId="0" xfId="0" applyFill="1" applyAlignment="1">
      <alignment/>
    </xf>
    <xf numFmtId="0" fontId="0" fillId="4" borderId="1" xfId="0" applyFill="1" applyBorder="1" applyAlignment="1">
      <alignment/>
    </xf>
    <xf numFmtId="0" fontId="0" fillId="4" borderId="1" xfId="0" applyFill="1" applyBorder="1" applyAlignment="1" applyProtection="1">
      <alignment horizontal="left"/>
      <protection/>
    </xf>
    <xf numFmtId="0" fontId="0" fillId="3" borderId="1" xfId="0" applyFill="1" applyBorder="1" applyAlignment="1" applyProtection="1">
      <alignment horizontal="left"/>
      <protection/>
    </xf>
    <xf numFmtId="9" fontId="0" fillId="3" borderId="1" xfId="22" applyFill="1" applyBorder="1" applyAlignment="1" applyProtection="1">
      <alignment/>
      <protection/>
    </xf>
    <xf numFmtId="1" fontId="0" fillId="3" borderId="1" xfId="0" applyNumberFormat="1" applyFill="1" applyBorder="1" applyAlignment="1">
      <alignment/>
    </xf>
    <xf numFmtId="0" fontId="4" fillId="0" borderId="0" xfId="0" applyFont="1" applyAlignment="1">
      <alignment/>
    </xf>
    <xf numFmtId="0" fontId="0" fillId="3" borderId="7" xfId="0" applyFill="1" applyBorder="1" applyAlignment="1">
      <alignment/>
    </xf>
    <xf numFmtId="0" fontId="0" fillId="0" borderId="8" xfId="0" applyFill="1" applyBorder="1" applyAlignment="1">
      <alignment/>
    </xf>
    <xf numFmtId="0" fontId="0" fillId="0" borderId="0" xfId="0" applyFont="1" applyAlignment="1">
      <alignment/>
    </xf>
    <xf numFmtId="0" fontId="9" fillId="4" borderId="0" xfId="0" applyFont="1" applyFill="1" applyAlignment="1">
      <alignment/>
    </xf>
    <xf numFmtId="0" fontId="0" fillId="4" borderId="1" xfId="0" applyFont="1" applyFill="1" applyBorder="1" applyAlignment="1">
      <alignment/>
    </xf>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3" fontId="0" fillId="0" borderId="3" xfId="0" applyNumberFormat="1" applyBorder="1" applyAlignment="1">
      <alignment horizontal="center" vertical="center" wrapText="1"/>
    </xf>
    <xf numFmtId="3" fontId="0" fillId="0" borderId="6" xfId="0" applyNumberFormat="1" applyBorder="1" applyAlignment="1">
      <alignment horizontal="center" vertical="center" wrapText="1"/>
    </xf>
    <xf numFmtId="0" fontId="0" fillId="0" borderId="4" xfId="0" applyBorder="1" applyAlignment="1">
      <alignment horizontal="center" vertical="center" wrapText="1"/>
    </xf>
    <xf numFmtId="3" fontId="0" fillId="0" borderId="4" xfId="0" applyNumberFormat="1" applyBorder="1" applyAlignment="1">
      <alignment horizontal="center" vertical="center" wrapText="1"/>
    </xf>
    <xf numFmtId="0" fontId="0" fillId="0" borderId="1" xfId="0" applyFont="1" applyFill="1" applyBorder="1" applyAlignment="1">
      <alignment horizontal="left"/>
    </xf>
    <xf numFmtId="164" fontId="0" fillId="0" borderId="1" xfId="22" applyNumberFormat="1" applyFill="1" applyBorder="1" applyAlignment="1">
      <alignment/>
    </xf>
    <xf numFmtId="1" fontId="0" fillId="0" borderId="1" xfId="0" applyNumberFormat="1" applyFont="1" applyBorder="1" applyAlignment="1">
      <alignment/>
    </xf>
    <xf numFmtId="1" fontId="10" fillId="0" borderId="1" xfId="0" applyNumberFormat="1" applyFont="1" applyBorder="1" applyAlignment="1">
      <alignment/>
    </xf>
    <xf numFmtId="0" fontId="0" fillId="0" borderId="1" xfId="0" applyNumberFormat="1" applyFont="1" applyBorder="1" applyAlignment="1">
      <alignment horizontal="left"/>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Border="1" applyAlignment="1">
      <alignment horizontal="left" wrapText="1"/>
    </xf>
    <xf numFmtId="0" fontId="3" fillId="0" borderId="11" xfId="0" applyFont="1" applyBorder="1" applyAlignment="1">
      <alignment horizontal="left" vertical="center" wrapText="1"/>
    </xf>
    <xf numFmtId="16" fontId="3" fillId="0" borderId="0" xfId="0" applyNumberFormat="1" applyFont="1" applyAlignment="1" quotePrefix="1">
      <alignment/>
    </xf>
    <xf numFmtId="0" fontId="0" fillId="0" borderId="5" xfId="0" applyBorder="1" applyAlignment="1">
      <alignment horizontal="center"/>
    </xf>
    <xf numFmtId="3" fontId="6" fillId="0" borderId="1" xfId="0" applyNumberFormat="1" applyFont="1" applyFill="1"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12" xfId="0" applyBorder="1" applyAlignment="1">
      <alignment horizontal="right"/>
    </xf>
    <xf numFmtId="0" fontId="0" fillId="0" borderId="13" xfId="0" applyBorder="1" applyAlignment="1">
      <alignment horizontal="right"/>
    </xf>
    <xf numFmtId="0" fontId="0" fillId="0" borderId="1" xfId="0" applyBorder="1" applyAlignment="1">
      <alignment vertical="justify"/>
    </xf>
    <xf numFmtId="0" fontId="0" fillId="0" borderId="0" xfId="0" applyAlignment="1">
      <alignment horizontal="centerContinuous" vertical="center" wrapText="1"/>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0" borderId="16" xfId="0" applyFont="1" applyBorder="1" applyAlignment="1">
      <alignment/>
    </xf>
    <xf numFmtId="0" fontId="12" fillId="0" borderId="1" xfId="0" applyFont="1" applyBorder="1" applyAlignment="1">
      <alignment/>
    </xf>
    <xf numFmtId="0" fontId="3" fillId="0" borderId="0" xfId="0" applyFont="1" applyAlignment="1" quotePrefix="1">
      <alignment/>
    </xf>
    <xf numFmtId="0" fontId="0" fillId="0" borderId="1" xfId="0" applyFont="1" applyFill="1" applyBorder="1" applyAlignment="1">
      <alignment/>
    </xf>
    <xf numFmtId="3" fontId="0" fillId="4" borderId="1" xfId="0" applyNumberFormat="1" applyFill="1" applyBorder="1" applyAlignment="1">
      <alignment/>
    </xf>
    <xf numFmtId="3" fontId="0" fillId="0" borderId="1" xfId="0" applyNumberFormat="1" applyFill="1" applyBorder="1" applyAlignment="1">
      <alignment/>
    </xf>
    <xf numFmtId="2" fontId="0" fillId="4" borderId="1" xfId="0" applyNumberFormat="1" applyFill="1" applyBorder="1" applyAlignment="1">
      <alignment/>
    </xf>
    <xf numFmtId="0" fontId="0" fillId="0" borderId="1" xfId="0" applyFont="1" applyBorder="1" applyAlignment="1">
      <alignment/>
    </xf>
    <xf numFmtId="0" fontId="0" fillId="4" borderId="1" xfId="0" applyFont="1" applyFill="1" applyBorder="1" applyAlignment="1">
      <alignment/>
    </xf>
    <xf numFmtId="0" fontId="0" fillId="0" borderId="1" xfId="0" applyFont="1" applyFill="1" applyBorder="1" applyAlignment="1">
      <alignment/>
    </xf>
    <xf numFmtId="0" fontId="0" fillId="3" borderId="1" xfId="0" applyFont="1" applyFill="1" applyBorder="1" applyAlignment="1" applyProtection="1">
      <alignment horizontal="left"/>
      <protection/>
    </xf>
    <xf numFmtId="0" fontId="0" fillId="3" borderId="1" xfId="0" applyFont="1" applyFill="1" applyBorder="1" applyAlignment="1" applyProtection="1">
      <alignment horizontal="right"/>
      <protection/>
    </xf>
    <xf numFmtId="0" fontId="0" fillId="3" borderId="1" xfId="0" applyFont="1" applyFill="1" applyBorder="1" applyAlignment="1">
      <alignment/>
    </xf>
    <xf numFmtId="0" fontId="0" fillId="0" borderId="1" xfId="0" applyFont="1" applyBorder="1" applyAlignment="1" quotePrefix="1">
      <alignment/>
    </xf>
    <xf numFmtId="1" fontId="0" fillId="0" borderId="1" xfId="0" applyNumberFormat="1" applyFont="1" applyBorder="1" applyAlignment="1">
      <alignment/>
    </xf>
    <xf numFmtId="0" fontId="3" fillId="0" borderId="1" xfId="0" applyFont="1" applyBorder="1" applyAlignment="1">
      <alignment horizontal="left"/>
    </xf>
    <xf numFmtId="0" fontId="0" fillId="0" borderId="1" xfId="0" applyFont="1" applyBorder="1" applyAlignment="1">
      <alignment/>
    </xf>
    <xf numFmtId="0" fontId="0" fillId="0" borderId="1" xfId="0" applyFont="1" applyBorder="1" applyAlignment="1">
      <alignment horizontal="left"/>
    </xf>
    <xf numFmtId="1" fontId="0" fillId="0" borderId="1" xfId="0" applyNumberFormat="1" applyFont="1" applyBorder="1" applyAlignment="1">
      <alignment/>
    </xf>
    <xf numFmtId="0" fontId="0" fillId="0" borderId="1" xfId="0" applyFont="1" applyFill="1" applyBorder="1" applyAlignment="1">
      <alignment/>
    </xf>
    <xf numFmtId="0" fontId="3" fillId="0" borderId="1" xfId="0" applyFont="1" applyBorder="1" applyAlignment="1">
      <alignment/>
    </xf>
    <xf numFmtId="0" fontId="4" fillId="0" borderId="1" xfId="0" applyFont="1" applyBorder="1" applyAlignment="1">
      <alignment horizontal="left"/>
    </xf>
    <xf numFmtId="0" fontId="0" fillId="0" borderId="1" xfId="0" applyFont="1" applyBorder="1" applyAlignment="1">
      <alignment/>
    </xf>
    <xf numFmtId="1" fontId="0" fillId="0" borderId="1" xfId="0" applyNumberFormat="1" applyFont="1" applyBorder="1" applyAlignment="1">
      <alignment/>
    </xf>
    <xf numFmtId="0" fontId="0" fillId="0" borderId="1" xfId="0" applyFont="1" applyFill="1" applyBorder="1" applyAlignment="1">
      <alignment/>
    </xf>
    <xf numFmtId="0" fontId="5" fillId="0" borderId="1" xfId="0" applyFont="1" applyBorder="1" applyAlignment="1">
      <alignment/>
    </xf>
    <xf numFmtId="164" fontId="0" fillId="0" borderId="1" xfId="22" applyNumberFormat="1" applyFont="1" applyBorder="1" applyAlignment="1">
      <alignment/>
    </xf>
    <xf numFmtId="0" fontId="0" fillId="2" borderId="1" xfId="0" applyFont="1" applyFill="1" applyBorder="1" applyAlignment="1" applyProtection="1">
      <alignment horizontal="left"/>
      <protection/>
    </xf>
    <xf numFmtId="1" fontId="0" fillId="0" borderId="1" xfId="0" applyNumberFormat="1" applyFont="1" applyFill="1" applyBorder="1" applyAlignment="1">
      <alignment/>
    </xf>
    <xf numFmtId="0" fontId="0" fillId="0" borderId="1" xfId="0" applyFont="1" applyFill="1" applyBorder="1" applyAlignment="1" applyProtection="1">
      <alignment horizontal="left"/>
      <protection/>
    </xf>
    <xf numFmtId="0" fontId="0" fillId="0" borderId="1" xfId="0" applyFont="1" applyBorder="1" applyAlignment="1" quotePrefix="1">
      <alignment/>
    </xf>
    <xf numFmtId="164" fontId="0" fillId="0" borderId="1" xfId="22" applyNumberFormat="1" applyFont="1" applyBorder="1" applyAlignment="1">
      <alignment/>
    </xf>
    <xf numFmtId="0" fontId="0" fillId="3" borderId="1" xfId="0" applyFont="1" applyFill="1" applyBorder="1" applyAlignment="1">
      <alignment/>
    </xf>
    <xf numFmtId="0" fontId="0" fillId="2" borderId="1" xfId="0" applyFont="1" applyFill="1" applyBorder="1" applyAlignment="1" applyProtection="1">
      <alignment horizontal="left"/>
      <protection/>
    </xf>
    <xf numFmtId="0" fontId="4" fillId="0" borderId="1" xfId="0" applyFont="1" applyBorder="1" applyAlignment="1">
      <alignment/>
    </xf>
    <xf numFmtId="1" fontId="0" fillId="0" borderId="1" xfId="0" applyNumberFormat="1" applyFont="1" applyFill="1" applyBorder="1" applyAlignment="1">
      <alignment/>
    </xf>
    <xf numFmtId="1" fontId="0" fillId="0" borderId="1" xfId="0" applyNumberFormat="1" applyFont="1" applyBorder="1" applyAlignment="1">
      <alignment horizontal="right"/>
    </xf>
    <xf numFmtId="1" fontId="0" fillId="0" borderId="1" xfId="0" applyNumberFormat="1" applyFont="1" applyFill="1" applyBorder="1" applyAlignment="1">
      <alignment/>
    </xf>
    <xf numFmtId="0" fontId="5" fillId="0" borderId="1" xfId="0" applyFont="1" applyFill="1" applyBorder="1" applyAlignment="1">
      <alignment/>
    </xf>
    <xf numFmtId="164" fontId="0" fillId="0" borderId="1" xfId="22" applyNumberFormat="1" applyFont="1" applyFill="1" applyBorder="1" applyAlignment="1">
      <alignment/>
    </xf>
    <xf numFmtId="1" fontId="5" fillId="0" borderId="1" xfId="0" applyNumberFormat="1" applyFont="1" applyFill="1" applyBorder="1" applyAlignment="1">
      <alignment/>
    </xf>
    <xf numFmtId="1" fontId="0" fillId="0" borderId="1" xfId="22" applyNumberFormat="1" applyFill="1" applyBorder="1" applyAlignment="1">
      <alignment/>
    </xf>
    <xf numFmtId="9" fontId="0" fillId="3" borderId="1" xfId="22" applyFont="1" applyFill="1" applyBorder="1" applyAlignment="1" applyProtection="1">
      <alignment/>
      <protection/>
    </xf>
    <xf numFmtId="1" fontId="0" fillId="3" borderId="1" xfId="0" applyNumberFormat="1" applyFont="1" applyFill="1" applyBorder="1" applyAlignment="1">
      <alignment/>
    </xf>
    <xf numFmtId="0" fontId="0" fillId="2" borderId="1" xfId="0" applyFont="1" applyFill="1" applyBorder="1" applyAlignment="1" applyProtection="1">
      <alignment horizontal="left"/>
      <protection/>
    </xf>
    <xf numFmtId="0" fontId="0" fillId="3" borderId="1" xfId="0" applyFont="1" applyFill="1" applyBorder="1" applyAlignment="1" applyProtection="1">
      <alignment/>
      <protection/>
    </xf>
    <xf numFmtId="0" fontId="0" fillId="2" borderId="1" xfId="0" applyFont="1" applyFill="1" applyBorder="1" applyAlignment="1" applyProtection="1">
      <alignment horizontal="left" indent="1"/>
      <protection/>
    </xf>
    <xf numFmtId="0" fontId="0" fillId="0" borderId="1" xfId="0" applyFont="1" applyFill="1" applyBorder="1" applyAlignment="1" applyProtection="1">
      <alignment horizontal="left"/>
      <protection/>
    </xf>
    <xf numFmtId="0" fontId="0" fillId="2" borderId="1" xfId="0" applyFont="1" applyFill="1" applyBorder="1" applyAlignment="1" applyProtection="1">
      <alignment horizontal="left"/>
      <protection/>
    </xf>
    <xf numFmtId="1" fontId="0" fillId="0" borderId="1" xfId="0" applyNumberFormat="1" applyFont="1" applyFill="1" applyBorder="1" applyAlignment="1">
      <alignment horizontal="right"/>
    </xf>
    <xf numFmtId="0" fontId="0" fillId="2" borderId="1" xfId="0" applyFont="1" applyFill="1" applyBorder="1" applyAlignment="1" applyProtection="1">
      <alignment horizontal="left" indent="1"/>
      <protection/>
    </xf>
    <xf numFmtId="0" fontId="3" fillId="0" borderId="1" xfId="0" applyFont="1" applyFill="1" applyBorder="1" applyAlignment="1">
      <alignment horizontal="left"/>
    </xf>
    <xf numFmtId="1" fontId="0" fillId="0" borderId="1" xfId="0" applyNumberFormat="1" applyFont="1" applyBorder="1" applyAlignment="1">
      <alignment horizontal="left"/>
    </xf>
    <xf numFmtId="1" fontId="0" fillId="2" borderId="1" xfId="0" applyNumberFormat="1" applyFont="1" applyFill="1" applyBorder="1" applyAlignment="1" applyProtection="1">
      <alignment horizontal="left"/>
      <protection/>
    </xf>
    <xf numFmtId="1" fontId="0" fillId="0" borderId="1" xfId="0" applyNumberFormat="1" applyFont="1" applyFill="1" applyBorder="1" applyAlignment="1">
      <alignment/>
    </xf>
    <xf numFmtId="1" fontId="0" fillId="0" borderId="1" xfId="0" applyNumberFormat="1" applyFont="1" applyFill="1" applyBorder="1" applyAlignment="1">
      <alignment horizontal="right"/>
    </xf>
    <xf numFmtId="0" fontId="0" fillId="0" borderId="0" xfId="0" applyFont="1" applyAlignment="1">
      <alignment/>
    </xf>
    <xf numFmtId="0" fontId="0" fillId="0" borderId="0" xfId="0" applyFont="1" applyFill="1" applyAlignment="1">
      <alignment wrapText="1"/>
    </xf>
    <xf numFmtId="0" fontId="0" fillId="0" borderId="1" xfId="0" applyFont="1" applyFill="1" applyBorder="1" applyAlignment="1">
      <alignment horizontal="left" indent="1"/>
    </xf>
    <xf numFmtId="0" fontId="0" fillId="0" borderId="1" xfId="0" applyFont="1" applyFill="1" applyBorder="1" applyAlignment="1">
      <alignment/>
    </xf>
    <xf numFmtId="1" fontId="0" fillId="0" borderId="1" xfId="0" applyNumberFormat="1" applyFont="1" applyBorder="1" applyAlignment="1">
      <alignment horizontal="left"/>
    </xf>
    <xf numFmtId="0" fontId="0" fillId="0" borderId="1" xfId="0" applyFont="1" applyFill="1" applyBorder="1" applyAlignment="1">
      <alignment horizontal="right"/>
    </xf>
    <xf numFmtId="0" fontId="0" fillId="0" borderId="1" xfId="0" applyFont="1" applyBorder="1" applyAlignment="1">
      <alignment/>
    </xf>
    <xf numFmtId="0" fontId="0" fillId="4" borderId="19" xfId="0" applyFill="1" applyBorder="1" applyAlignment="1">
      <alignment/>
    </xf>
    <xf numFmtId="0" fontId="3" fillId="4" borderId="1" xfId="0" applyFont="1" applyFill="1" applyBorder="1" applyAlignment="1">
      <alignment/>
    </xf>
    <xf numFmtId="9" fontId="0" fillId="3" borderId="1" xfId="0" applyNumberFormat="1" applyFill="1" applyBorder="1" applyAlignment="1">
      <alignment/>
    </xf>
    <xf numFmtId="0" fontId="0" fillId="3" borderId="0" xfId="0" applyFill="1" applyAlignment="1">
      <alignment/>
    </xf>
    <xf numFmtId="0" fontId="0" fillId="3" borderId="0" xfId="0" applyFill="1" applyAlignment="1">
      <alignment wrapText="1"/>
    </xf>
    <xf numFmtId="0" fontId="0" fillId="0" borderId="1" xfId="0" applyFill="1" applyBorder="1" applyAlignment="1">
      <alignment horizontal="left" wrapText="1"/>
    </xf>
    <xf numFmtId="3" fontId="0" fillId="0" borderId="0" xfId="0" applyNumberFormat="1" applyFont="1" applyAlignment="1">
      <alignment/>
    </xf>
    <xf numFmtId="3" fontId="0" fillId="0" borderId="1" xfId="0" applyNumberFormat="1" applyFill="1" applyBorder="1" applyAlignment="1">
      <alignment horizontal="center"/>
    </xf>
    <xf numFmtId="3" fontId="0" fillId="0" borderId="1" xfId="0" applyNumberFormat="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Font="1" applyBorder="1" applyAlignment="1">
      <alignment/>
    </xf>
    <xf numFmtId="0" fontId="0" fillId="0" borderId="20" xfId="0" applyBorder="1" applyAlignment="1">
      <alignment/>
    </xf>
    <xf numFmtId="0" fontId="0" fillId="0" borderId="21" xfId="0" applyBorder="1" applyAlignment="1">
      <alignment/>
    </xf>
    <xf numFmtId="0" fontId="0" fillId="0" borderId="21" xfId="0" applyFont="1" applyBorder="1" applyAlignment="1">
      <alignment/>
    </xf>
    <xf numFmtId="0" fontId="0" fillId="0" borderId="5" xfId="0" applyBorder="1" applyAlignment="1">
      <alignment/>
    </xf>
    <xf numFmtId="0" fontId="0" fillId="0" borderId="12" xfId="0" applyBorder="1" applyAlignment="1">
      <alignment/>
    </xf>
    <xf numFmtId="0" fontId="0" fillId="0" borderId="12" xfId="0" applyFont="1" applyBorder="1" applyAlignment="1">
      <alignment/>
    </xf>
    <xf numFmtId="3" fontId="0" fillId="0" borderId="4" xfId="0" applyNumberFormat="1" applyFont="1" applyBorder="1" applyAlignment="1">
      <alignment/>
    </xf>
    <xf numFmtId="0" fontId="0" fillId="0" borderId="18" xfId="0" applyFont="1" applyBorder="1" applyAlignment="1">
      <alignment/>
    </xf>
    <xf numFmtId="0" fontId="0" fillId="0" borderId="15" xfId="0" applyFont="1" applyBorder="1" applyAlignment="1">
      <alignment/>
    </xf>
    <xf numFmtId="1" fontId="0" fillId="0" borderId="2" xfId="0" applyNumberFormat="1" applyBorder="1" applyAlignment="1">
      <alignment/>
    </xf>
    <xf numFmtId="1" fontId="0" fillId="0" borderId="4" xfId="0" applyNumberFormat="1" applyFont="1" applyBorder="1" applyAlignment="1">
      <alignment/>
    </xf>
    <xf numFmtId="3" fontId="0" fillId="0" borderId="1" xfId="0" applyNumberFormat="1" applyFont="1" applyBorder="1" applyAlignment="1">
      <alignment/>
    </xf>
    <xf numFmtId="0" fontId="0" fillId="0" borderId="16" xfId="0" applyFont="1" applyBorder="1" applyAlignment="1">
      <alignment/>
    </xf>
    <xf numFmtId="1" fontId="0" fillId="0" borderId="22" xfId="0" applyNumberFormat="1" applyBorder="1" applyAlignment="1">
      <alignment/>
    </xf>
    <xf numFmtId="1" fontId="0" fillId="0" borderId="13" xfId="0" applyNumberFormat="1" applyBorder="1" applyAlignment="1">
      <alignment/>
    </xf>
    <xf numFmtId="0" fontId="0" fillId="0" borderId="18" xfId="0" applyBorder="1" applyAlignment="1">
      <alignment/>
    </xf>
    <xf numFmtId="3" fontId="0" fillId="0" borderId="0" xfId="0" applyNumberFormat="1" applyFont="1" applyBorder="1" applyAlignment="1">
      <alignment/>
    </xf>
    <xf numFmtId="0" fontId="15" fillId="0" borderId="0" xfId="0" applyFont="1" applyAlignment="1">
      <alignment/>
    </xf>
    <xf numFmtId="0" fontId="15" fillId="0" borderId="0" xfId="0" applyFont="1" applyAlignment="1">
      <alignment/>
    </xf>
    <xf numFmtId="0" fontId="5"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17" fillId="0" borderId="0" xfId="0" applyFont="1" applyAlignment="1">
      <alignment horizontal="left"/>
    </xf>
    <xf numFmtId="0" fontId="17" fillId="0" borderId="0" xfId="0" applyFont="1" applyAlignment="1">
      <alignment/>
    </xf>
    <xf numFmtId="0" fontId="0" fillId="0" borderId="1" xfId="0" applyFill="1" applyBorder="1" applyAlignment="1">
      <alignment horizontal="center" wrapText="1"/>
    </xf>
    <xf numFmtId="3" fontId="0" fillId="0" borderId="1" xfId="0" applyNumberFormat="1" applyFont="1" applyBorder="1" applyAlignment="1">
      <alignment horizontal="center" vertical="center"/>
    </xf>
    <xf numFmtId="3" fontId="0" fillId="0" borderId="3" xfId="0" applyNumberFormat="1" applyFont="1" applyBorder="1" applyAlignment="1">
      <alignment horizontal="center" vertical="center"/>
    </xf>
    <xf numFmtId="3" fontId="0" fillId="0" borderId="4" xfId="0" applyNumberFormat="1" applyFont="1" applyBorder="1" applyAlignment="1">
      <alignment horizontal="center" vertical="center"/>
    </xf>
    <xf numFmtId="0" fontId="0" fillId="0" borderId="1" xfId="0" applyFont="1" applyBorder="1" applyAlignment="1">
      <alignment horizontal="center" wrapText="1"/>
    </xf>
    <xf numFmtId="1" fontId="0" fillId="4" borderId="1" xfId="0" applyNumberFormat="1" applyFill="1" applyBorder="1" applyAlignment="1">
      <alignment/>
    </xf>
    <xf numFmtId="3" fontId="18" fillId="4" borderId="1" xfId="0" applyNumberFormat="1" applyFont="1" applyFill="1" applyBorder="1" applyAlignment="1">
      <alignment/>
    </xf>
    <xf numFmtId="3" fontId="18" fillId="0" borderId="1" xfId="0" applyNumberFormat="1" applyFont="1" applyFill="1" applyBorder="1" applyAlignment="1">
      <alignment/>
    </xf>
    <xf numFmtId="0" fontId="18" fillId="0" borderId="0" xfId="0" applyFont="1" applyFill="1" applyAlignment="1">
      <alignment/>
    </xf>
    <xf numFmtId="2" fontId="18" fillId="4" borderId="1" xfId="0" applyNumberFormat="1" applyFont="1" applyFill="1" applyBorder="1" applyAlignment="1">
      <alignment/>
    </xf>
    <xf numFmtId="0" fontId="19" fillId="0" borderId="1" xfId="0" applyFont="1" applyFill="1" applyBorder="1" applyAlignment="1">
      <alignment vertical="center"/>
    </xf>
    <xf numFmtId="1" fontId="19" fillId="0" borderId="1" xfId="0" applyNumberFormat="1" applyFont="1" applyFill="1" applyBorder="1" applyAlignment="1">
      <alignment vertical="center"/>
    </xf>
    <xf numFmtId="9" fontId="19" fillId="0" borderId="1" xfId="0" applyNumberFormat="1" applyFont="1" applyFill="1" applyBorder="1" applyAlignment="1">
      <alignment vertical="center"/>
    </xf>
    <xf numFmtId="0" fontId="20" fillId="0" borderId="1" xfId="0" applyFont="1" applyBorder="1" applyAlignment="1">
      <alignment vertical="justify"/>
    </xf>
    <xf numFmtId="1" fontId="20" fillId="0" borderId="1" xfId="0" applyNumberFormat="1" applyFont="1" applyBorder="1" applyAlignment="1">
      <alignment/>
    </xf>
    <xf numFmtId="9" fontId="20" fillId="0" borderId="1" xfId="0" applyNumberFormat="1" applyFont="1" applyBorder="1" applyAlignment="1">
      <alignment/>
    </xf>
    <xf numFmtId="10" fontId="0" fillId="0" borderId="1" xfId="22" applyNumberFormat="1" applyFont="1" applyFill="1" applyBorder="1" applyAlignment="1">
      <alignment/>
    </xf>
    <xf numFmtId="1" fontId="0" fillId="0" borderId="1" xfId="0" applyNumberFormat="1" applyFont="1" applyFill="1" applyBorder="1" applyAlignment="1">
      <alignment horizontal="right"/>
    </xf>
    <xf numFmtId="0" fontId="0" fillId="0" borderId="0" xfId="0" applyFont="1" applyAlignment="1">
      <alignment wrapText="1"/>
    </xf>
    <xf numFmtId="14" fontId="0" fillId="0" borderId="0" xfId="0" applyNumberFormat="1" applyAlignment="1">
      <alignment/>
    </xf>
    <xf numFmtId="9" fontId="0" fillId="4" borderId="1" xfId="0" applyNumberFormat="1" applyFill="1" applyBorder="1" applyAlignment="1">
      <alignment/>
    </xf>
    <xf numFmtId="9" fontId="0" fillId="0" borderId="1" xfId="0" applyNumberFormat="1" applyFill="1" applyBorder="1" applyAlignment="1">
      <alignment/>
    </xf>
    <xf numFmtId="9" fontId="18" fillId="4" borderId="1" xfId="0" applyNumberFormat="1" applyFont="1" applyFill="1" applyBorder="1" applyAlignment="1">
      <alignment/>
    </xf>
    <xf numFmtId="0" fontId="21" fillId="0" borderId="0" xfId="0" applyFont="1" applyAlignment="1">
      <alignment/>
    </xf>
    <xf numFmtId="9" fontId="0" fillId="4" borderId="1" xfId="22" applyFill="1" applyBorder="1" applyAlignment="1">
      <alignment/>
    </xf>
    <xf numFmtId="9" fontId="0" fillId="0" borderId="1" xfId="22" applyFill="1" applyBorder="1" applyAlignment="1">
      <alignment/>
    </xf>
    <xf numFmtId="15" fontId="15" fillId="0" borderId="0" xfId="0" applyNumberFormat="1" applyFont="1" applyAlignment="1">
      <alignment horizontal="left"/>
    </xf>
    <xf numFmtId="0" fontId="0" fillId="4" borderId="0" xfId="0" applyFont="1" applyFill="1" applyAlignment="1">
      <alignment/>
    </xf>
    <xf numFmtId="3" fontId="0" fillId="0" borderId="0" xfId="0" applyNumberFormat="1" applyAlignment="1">
      <alignment horizontal="center" vertical="center" wrapText="1"/>
    </xf>
    <xf numFmtId="3" fontId="0" fillId="0" borderId="13" xfId="0" applyNumberFormat="1" applyBorder="1" applyAlignment="1">
      <alignment horizontal="center" vertical="center" wrapText="1"/>
    </xf>
    <xf numFmtId="0" fontId="22" fillId="0" borderId="0" xfId="0" applyFont="1" applyAlignment="1">
      <alignment/>
    </xf>
    <xf numFmtId="0" fontId="0" fillId="0" borderId="0" xfId="0" applyFont="1" applyAlignment="1">
      <alignment/>
    </xf>
    <xf numFmtId="1" fontId="22" fillId="0" borderId="1" xfId="0" applyNumberFormat="1" applyFont="1" applyBorder="1" applyAlignment="1">
      <alignment horizontal="right"/>
    </xf>
    <xf numFmtId="1" fontId="22" fillId="0" borderId="1" xfId="0" applyNumberFormat="1" applyFont="1" applyBorder="1" applyAlignment="1">
      <alignment/>
    </xf>
    <xf numFmtId="1" fontId="22" fillId="0" borderId="1" xfId="0" applyNumberFormat="1" applyFont="1" applyFill="1" applyBorder="1" applyAlignment="1">
      <alignment/>
    </xf>
    <xf numFmtId="0" fontId="13" fillId="0" borderId="23" xfId="21" applyNumberFormat="1" applyFont="1" applyAlignment="1">
      <alignment/>
      <protection/>
    </xf>
    <xf numFmtId="0" fontId="13" fillId="0" borderId="0" xfId="21" applyNumberFormat="1" applyFont="1" applyAlignment="1">
      <alignment/>
      <protection/>
    </xf>
    <xf numFmtId="0" fontId="14" fillId="0" borderId="0" xfId="21" applyNumberFormat="1" applyFont="1" applyAlignment="1">
      <alignment horizontal="center"/>
      <protection/>
    </xf>
    <xf numFmtId="0" fontId="13" fillId="0" borderId="24" xfId="21" applyNumberFormat="1" applyFont="1" applyAlignment="1">
      <alignment horizontal="center"/>
      <protection/>
    </xf>
    <xf numFmtId="0" fontId="13" fillId="0" borderId="24" xfId="21" applyNumberFormat="1" applyFont="1" applyAlignment="1">
      <alignment/>
      <protection/>
    </xf>
    <xf numFmtId="0" fontId="13" fillId="0" borderId="24" xfId="21" applyNumberFormat="1" applyFont="1" applyAlignment="1">
      <alignment/>
      <protection locked="0"/>
    </xf>
    <xf numFmtId="0" fontId="13" fillId="0" borderId="25" xfId="21" applyNumberFormat="1" applyFont="1" applyAlignment="1">
      <alignment/>
      <protection/>
    </xf>
    <xf numFmtId="0" fontId="13" fillId="0" borderId="26" xfId="21" applyNumberFormat="1" applyFont="1" applyAlignment="1">
      <alignment horizontal="center"/>
      <protection/>
    </xf>
    <xf numFmtId="0" fontId="14" fillId="0" borderId="26" xfId="21" applyNumberFormat="1" applyFont="1" applyAlignment="1">
      <alignment horizontal="center"/>
      <protection/>
    </xf>
    <xf numFmtId="0" fontId="13" fillId="0" borderId="26" xfId="21" applyNumberFormat="1" applyFont="1" applyAlignment="1">
      <alignment/>
      <protection/>
    </xf>
    <xf numFmtId="0" fontId="13" fillId="0" borderId="27" xfId="21" applyNumberFormat="1" applyFont="1" applyAlignment="1">
      <alignment horizontal="center"/>
      <protection locked="0"/>
    </xf>
    <xf numFmtId="0" fontId="13" fillId="0" borderId="23" xfId="21" applyNumberFormat="1" applyFont="1" applyAlignment="1">
      <alignment/>
      <protection locked="0"/>
    </xf>
    <xf numFmtId="0" fontId="13" fillId="0" borderId="28" xfId="21" applyNumberFormat="1" applyFont="1" applyAlignment="1">
      <alignment/>
      <protection/>
    </xf>
    <xf numFmtId="0" fontId="13" fillId="0" borderId="0" xfId="21" applyNumberFormat="1" applyFont="1" applyAlignment="1">
      <alignment horizontal="center"/>
      <protection/>
    </xf>
    <xf numFmtId="0" fontId="13" fillId="0" borderId="28" xfId="21" applyNumberFormat="1" applyFont="1" applyAlignment="1">
      <alignment horizontal="center"/>
      <protection locked="0"/>
    </xf>
    <xf numFmtId="0" fontId="13" fillId="0" borderId="23" xfId="21" applyNumberFormat="1" applyFont="1" applyAlignment="1">
      <alignment horizontal="center"/>
      <protection/>
    </xf>
    <xf numFmtId="0" fontId="13" fillId="0" borderId="25" xfId="21" applyNumberFormat="1" applyFont="1" applyAlignment="1">
      <alignment horizontal="center"/>
      <protection/>
    </xf>
    <xf numFmtId="0" fontId="13" fillId="0" borderId="29" xfId="21" applyNumberFormat="1" applyFont="1" applyAlignment="1">
      <alignment horizontal="center"/>
      <protection/>
    </xf>
    <xf numFmtId="0" fontId="13" fillId="0" borderId="29" xfId="21" applyNumberFormat="1" applyFont="1" applyAlignment="1">
      <alignment/>
      <protection/>
    </xf>
    <xf numFmtId="0" fontId="13" fillId="0" borderId="28" xfId="21" applyNumberFormat="1" applyFont="1" applyAlignment="1">
      <alignment horizontal="center"/>
      <protection/>
    </xf>
    <xf numFmtId="0" fontId="13" fillId="0" borderId="28" xfId="21" applyNumberFormat="1" applyFont="1" applyAlignment="1">
      <alignment/>
      <protection locked="0"/>
    </xf>
    <xf numFmtId="0" fontId="13" fillId="0" borderId="24" xfId="21" applyNumberFormat="1" applyFont="1" applyAlignment="1">
      <alignment horizontal="center"/>
      <protection locked="0"/>
    </xf>
    <xf numFmtId="0" fontId="13" fillId="0" borderId="25" xfId="21" applyNumberFormat="1" applyFont="1" applyAlignment="1">
      <alignment horizontal="center"/>
      <protection locked="0"/>
    </xf>
    <xf numFmtId="0" fontId="13" fillId="0" borderId="29" xfId="21" applyNumberFormat="1" applyFont="1" applyAlignment="1">
      <alignment horizontal="center"/>
      <protection locked="0"/>
    </xf>
    <xf numFmtId="0" fontId="13" fillId="0" borderId="30" xfId="21" applyNumberFormat="1" applyFont="1" applyBorder="1" applyAlignment="1">
      <alignment horizontal="center"/>
      <protection locked="0"/>
    </xf>
    <xf numFmtId="0" fontId="13" fillId="0" borderId="31" xfId="21" applyNumberFormat="1" applyFont="1" applyBorder="1" applyAlignment="1">
      <alignment horizontal="center"/>
      <protection locked="0"/>
    </xf>
    <xf numFmtId="0" fontId="13" fillId="0" borderId="32" xfId="21" applyNumberFormat="1" applyFont="1" applyBorder="1" applyAlignment="1">
      <alignment horizontal="center"/>
      <protection locked="0"/>
    </xf>
    <xf numFmtId="0" fontId="13" fillId="0" borderId="27" xfId="21" applyNumberFormat="1" applyFont="1" applyAlignment="1">
      <alignment/>
      <protection locked="0"/>
    </xf>
    <xf numFmtId="0" fontId="13" fillId="0" borderId="33" xfId="21" applyNumberFormat="1" applyFont="1" applyAlignment="1">
      <alignment horizontal="center"/>
      <protection/>
    </xf>
    <xf numFmtId="0" fontId="23" fillId="0" borderId="33" xfId="21" applyFont="1" applyAlignment="1">
      <alignment/>
      <protection/>
    </xf>
    <xf numFmtId="0" fontId="13" fillId="0" borderId="33" xfId="21" applyFont="1" applyAlignment="1">
      <alignment/>
      <protection/>
    </xf>
    <xf numFmtId="0" fontId="13" fillId="0" borderId="27" xfId="21" applyFont="1" applyAlignment="1">
      <alignment/>
      <protection/>
    </xf>
    <xf numFmtId="0" fontId="13" fillId="0" borderId="24" xfId="21" applyFont="1" applyAlignment="1">
      <alignment/>
      <protection/>
    </xf>
    <xf numFmtId="0" fontId="13" fillId="0" borderId="23" xfId="21" applyFont="1" applyBorder="1" applyAlignment="1">
      <alignment/>
      <protection/>
    </xf>
    <xf numFmtId="0" fontId="13" fillId="0" borderId="34" xfId="21" applyFont="1" applyAlignment="1">
      <alignment/>
      <protection/>
    </xf>
    <xf numFmtId="0" fontId="13" fillId="0" borderId="24" xfId="21" applyFont="1" applyAlignment="1">
      <alignment horizontal="center"/>
      <protection/>
    </xf>
    <xf numFmtId="0" fontId="23" fillId="0" borderId="24" xfId="21" applyFont="1" applyAlignment="1">
      <alignment/>
      <protection/>
    </xf>
    <xf numFmtId="0" fontId="0" fillId="0" borderId="11" xfId="0" applyBorder="1" applyAlignment="1">
      <alignment horizontal="right" wrapText="1"/>
    </xf>
    <xf numFmtId="0" fontId="3" fillId="0" borderId="11" xfId="0" applyFont="1" applyBorder="1" applyAlignment="1">
      <alignment horizontal="center" vertical="center" wrapText="1"/>
    </xf>
    <xf numFmtId="0" fontId="3" fillId="0" borderId="1" xfId="0" applyFont="1" applyFill="1" applyBorder="1" applyAlignment="1">
      <alignment/>
    </xf>
    <xf numFmtId="38" fontId="0" fillId="0" borderId="1" xfId="0" applyNumberFormat="1" applyBorder="1" applyAlignment="1">
      <alignment horizontal="center" vertical="center" wrapText="1"/>
    </xf>
    <xf numFmtId="38" fontId="0" fillId="0" borderId="3" xfId="0" applyNumberFormat="1" applyBorder="1" applyAlignment="1">
      <alignment horizontal="center" vertical="center" wrapText="1"/>
    </xf>
    <xf numFmtId="3" fontId="0" fillId="0" borderId="1" xfId="0" applyNumberFormat="1" applyFont="1" applyFill="1" applyBorder="1" applyAlignment="1">
      <alignment/>
    </xf>
    <xf numFmtId="38" fontId="0" fillId="0" borderId="4" xfId="0" applyNumberFormat="1" applyBorder="1" applyAlignment="1">
      <alignment horizontal="center" vertical="center" wrapText="1"/>
    </xf>
    <xf numFmtId="38" fontId="0" fillId="0" borderId="6" xfId="0" applyNumberFormat="1" applyBorder="1" applyAlignment="1">
      <alignment horizontal="center" vertical="center" wrapText="1"/>
    </xf>
    <xf numFmtId="38"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horizontal="center" wrapText="1"/>
    </xf>
    <xf numFmtId="3" fontId="0" fillId="4" borderId="1" xfId="0" applyNumberFormat="1" applyFont="1" applyFill="1" applyBorder="1" applyAlignment="1">
      <alignment/>
    </xf>
    <xf numFmtId="0" fontId="24" fillId="0" borderId="0" xfId="0" applyFont="1" applyAlignment="1">
      <alignment/>
    </xf>
    <xf numFmtId="0" fontId="24" fillId="0" borderId="0" xfId="0" applyFont="1" applyAlignment="1">
      <alignment horizontal="center"/>
    </xf>
    <xf numFmtId="3" fontId="24" fillId="0" borderId="0" xfId="0" applyNumberFormat="1" applyFont="1" applyAlignment="1">
      <alignment horizontal="center"/>
    </xf>
    <xf numFmtId="171" fontId="25" fillId="0" borderId="0" xfId="0" applyNumberFormat="1" applyFont="1" applyAlignment="1">
      <alignment horizontal="center"/>
    </xf>
    <xf numFmtId="0" fontId="24" fillId="0" borderId="16" xfId="0" applyFont="1" applyBorder="1" applyAlignment="1">
      <alignment horizontal="center"/>
    </xf>
    <xf numFmtId="0" fontId="24" fillId="0" borderId="18" xfId="0" applyFont="1" applyBorder="1" applyAlignment="1">
      <alignment horizontal="center"/>
    </xf>
    <xf numFmtId="10" fontId="0" fillId="0" borderId="18" xfId="0" applyNumberFormat="1" applyBorder="1" applyAlignment="1">
      <alignment horizontal="center"/>
    </xf>
    <xf numFmtId="0" fontId="24" fillId="0" borderId="20" xfId="0" applyFont="1" applyBorder="1" applyAlignment="1">
      <alignment/>
    </xf>
    <xf numFmtId="3" fontId="24" fillId="0" borderId="21" xfId="0" applyNumberFormat="1" applyFont="1" applyBorder="1" applyAlignment="1">
      <alignment horizontal="center"/>
    </xf>
    <xf numFmtId="171" fontId="25" fillId="0" borderId="21" xfId="0" applyNumberFormat="1" applyFont="1" applyBorder="1" applyAlignment="1">
      <alignment horizontal="center"/>
    </xf>
    <xf numFmtId="10" fontId="0" fillId="0" borderId="22" xfId="0" applyNumberFormat="1" applyBorder="1" applyAlignment="1">
      <alignment horizontal="center"/>
    </xf>
    <xf numFmtId="0" fontId="24" fillId="0" borderId="22" xfId="0" applyFont="1" applyBorder="1" applyAlignment="1">
      <alignment horizontal="center"/>
    </xf>
    <xf numFmtId="0" fontId="24" fillId="0" borderId="17" xfId="0" applyFont="1" applyBorder="1" applyAlignment="1">
      <alignment/>
    </xf>
    <xf numFmtId="0" fontId="29" fillId="0" borderId="0" xfId="0" applyFont="1" applyFill="1" applyBorder="1" applyAlignment="1">
      <alignment horizontal="right"/>
    </xf>
    <xf numFmtId="0" fontId="0" fillId="5" borderId="14" xfId="0" applyFill="1" applyBorder="1" applyAlignment="1">
      <alignment/>
    </xf>
    <xf numFmtId="0" fontId="0" fillId="5" borderId="15" xfId="0" applyFill="1" applyBorder="1" applyAlignment="1">
      <alignment/>
    </xf>
    <xf numFmtId="0" fontId="0" fillId="5" borderId="16" xfId="0" applyFill="1" applyBorder="1" applyAlignment="1">
      <alignment/>
    </xf>
    <xf numFmtId="0" fontId="0" fillId="5" borderId="17" xfId="0" applyFill="1" applyBorder="1" applyAlignment="1">
      <alignment/>
    </xf>
    <xf numFmtId="0" fontId="0" fillId="5" borderId="0" xfId="0" applyFill="1" applyBorder="1" applyAlignment="1">
      <alignment/>
    </xf>
    <xf numFmtId="0" fontId="0" fillId="5" borderId="18" xfId="0" applyFill="1" applyBorder="1" applyAlignment="1">
      <alignment/>
    </xf>
    <xf numFmtId="0" fontId="0" fillId="5" borderId="20" xfId="0" applyFill="1" applyBorder="1" applyAlignment="1">
      <alignment/>
    </xf>
    <xf numFmtId="1" fontId="0" fillId="5" borderId="21" xfId="0" applyNumberFormat="1" applyFill="1" applyBorder="1" applyAlignment="1">
      <alignment/>
    </xf>
    <xf numFmtId="10" fontId="0" fillId="5" borderId="21" xfId="0" applyNumberFormat="1" applyFill="1" applyBorder="1" applyAlignment="1">
      <alignment/>
    </xf>
    <xf numFmtId="10" fontId="0" fillId="5" borderId="22" xfId="0" applyNumberFormat="1" applyFill="1" applyBorder="1" applyAlignment="1">
      <alignment/>
    </xf>
    <xf numFmtId="14" fontId="0" fillId="0" borderId="0" xfId="0" applyNumberFormat="1" applyFont="1" applyAlignment="1">
      <alignment/>
    </xf>
    <xf numFmtId="0" fontId="4" fillId="0" borderId="0" xfId="0" applyFont="1" applyAlignment="1">
      <alignment horizontal="left"/>
    </xf>
    <xf numFmtId="0" fontId="0" fillId="0" borderId="0" xfId="0" applyAlignment="1" quotePrefix="1">
      <alignment/>
    </xf>
    <xf numFmtId="0" fontId="6" fillId="0" borderId="17" xfId="0" applyFont="1" applyFill="1" applyBorder="1" applyAlignment="1">
      <alignment horizontal="center"/>
    </xf>
    <xf numFmtId="38" fontId="0" fillId="0" borderId="0" xfId="0" applyNumberFormat="1" applyAlignment="1">
      <alignment/>
    </xf>
    <xf numFmtId="0" fontId="0" fillId="0" borderId="0" xfId="0" applyFont="1" applyFill="1" applyBorder="1" applyAlignment="1">
      <alignment/>
    </xf>
    <xf numFmtId="0" fontId="0" fillId="0" borderId="0" xfId="0" applyFill="1" applyBorder="1" applyAlignment="1">
      <alignment horizontal="center" vertical="center"/>
    </xf>
    <xf numFmtId="0" fontId="3" fillId="0" borderId="0" xfId="0" applyFont="1" applyFill="1" applyBorder="1" applyAlignment="1">
      <alignment horizontal="left" vertical="center"/>
    </xf>
    <xf numFmtId="0" fontId="7" fillId="0" borderId="0" xfId="0" applyFont="1" applyFill="1" applyBorder="1" applyAlignment="1">
      <alignment vertical="center"/>
    </xf>
    <xf numFmtId="0" fontId="0" fillId="0" borderId="0" xfId="0" applyAlignment="1">
      <alignment horizontal="center"/>
    </xf>
    <xf numFmtId="0" fontId="3" fillId="0" borderId="1" xfId="0" applyFont="1" applyBorder="1" applyAlignment="1">
      <alignment horizontal="center" vertical="center"/>
    </xf>
    <xf numFmtId="9" fontId="0" fillId="0" borderId="0" xfId="22" applyAlignment="1">
      <alignment/>
    </xf>
    <xf numFmtId="3" fontId="0" fillId="0" borderId="1" xfId="0" applyNumberFormat="1" applyFill="1" applyBorder="1" applyAlignment="1">
      <alignment horizontal="center" vertical="center" wrapText="1"/>
    </xf>
    <xf numFmtId="38" fontId="0" fillId="0" borderId="1" xfId="0" applyNumberFormat="1" applyFill="1" applyBorder="1" applyAlignment="1">
      <alignment horizontal="center" vertical="center" wrapText="1"/>
    </xf>
    <xf numFmtId="38" fontId="0" fillId="0" borderId="1" xfId="0" applyNumberFormat="1" applyBorder="1" applyAlignment="1">
      <alignment horizontal="center" vertical="center"/>
    </xf>
    <xf numFmtId="38" fontId="0" fillId="0" borderId="3" xfId="0" applyNumberFormat="1" applyBorder="1" applyAlignment="1">
      <alignment horizontal="center" vertical="center"/>
    </xf>
    <xf numFmtId="38" fontId="0" fillId="0" borderId="4" xfId="0" applyNumberFormat="1" applyBorder="1" applyAlignment="1">
      <alignment horizontal="center" vertical="center"/>
    </xf>
    <xf numFmtId="14" fontId="0" fillId="0" borderId="0" xfId="0" applyNumberFormat="1" applyFont="1" applyAlignment="1">
      <alignment/>
    </xf>
    <xf numFmtId="0" fontId="22" fillId="4" borderId="1" xfId="0" applyFont="1" applyFill="1" applyBorder="1" applyAlignment="1">
      <alignment/>
    </xf>
    <xf numFmtId="1" fontId="30" fillId="4" borderId="1" xfId="0" applyNumberFormat="1" applyFont="1" applyFill="1" applyBorder="1" applyAlignment="1">
      <alignment/>
    </xf>
    <xf numFmtId="0" fontId="30" fillId="4" borderId="1" xfId="0" applyFont="1" applyFill="1" applyBorder="1" applyAlignment="1">
      <alignment/>
    </xf>
    <xf numFmtId="0" fontId="22" fillId="0" borderId="5" xfId="0" applyFont="1" applyBorder="1" applyAlignment="1">
      <alignment/>
    </xf>
    <xf numFmtId="3" fontId="22" fillId="0" borderId="1" xfId="0" applyNumberFormat="1" applyFont="1" applyBorder="1" applyAlignment="1">
      <alignment/>
    </xf>
    <xf numFmtId="3" fontId="22" fillId="0" borderId="1" xfId="0" applyNumberFormat="1" applyFont="1" applyBorder="1" applyAlignment="1">
      <alignment horizontal="center"/>
    </xf>
    <xf numFmtId="3" fontId="6" fillId="0" borderId="0" xfId="0" applyNumberFormat="1" applyFont="1" applyBorder="1" applyAlignment="1">
      <alignment horizontal="center" vertical="center"/>
    </xf>
    <xf numFmtId="3" fontId="6" fillId="0" borderId="4"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0" fontId="0" fillId="0" borderId="16" xfId="0" applyBorder="1" applyAlignment="1">
      <alignment horizontal="center" vertical="center" wrapText="1"/>
    </xf>
    <xf numFmtId="38" fontId="0" fillId="0" borderId="0" xfId="0" applyNumberFormat="1" applyAlignment="1">
      <alignment wrapText="1"/>
    </xf>
    <xf numFmtId="0" fontId="6" fillId="0" borderId="0" xfId="0" applyFont="1" applyFill="1" applyBorder="1" applyAlignment="1">
      <alignment vertical="center"/>
    </xf>
    <xf numFmtId="0" fontId="7" fillId="0" borderId="21" xfId="0" applyFont="1" applyBorder="1" applyAlignment="1">
      <alignment horizontal="left" wrapText="1"/>
    </xf>
    <xf numFmtId="0" fontId="6" fillId="0" borderId="2" xfId="0" applyFont="1" applyBorder="1" applyAlignment="1">
      <alignment horizontal="center" wrapText="1"/>
    </xf>
    <xf numFmtId="0" fontId="6" fillId="0" borderId="4" xfId="0" applyFont="1" applyBorder="1" applyAlignment="1">
      <alignment horizontal="center" wrapText="1"/>
    </xf>
    <xf numFmtId="0" fontId="6" fillId="0" borderId="1" xfId="0" applyFont="1" applyBorder="1" applyAlignment="1">
      <alignment horizontal="center"/>
    </xf>
    <xf numFmtId="164" fontId="7" fillId="0" borderId="0" xfId="0" applyNumberFormat="1"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1" xfId="0" applyBorder="1" applyAlignment="1">
      <alignment horizontal="center"/>
    </xf>
    <xf numFmtId="0" fontId="0" fillId="0" borderId="1" xfId="0" applyBorder="1" applyAlignment="1">
      <alignment horizontal="center" wrapText="1"/>
    </xf>
    <xf numFmtId="0" fontId="0" fillId="0" borderId="1" xfId="0" applyFont="1" applyBorder="1" applyAlignment="1">
      <alignment horizontal="center" wrapText="1"/>
    </xf>
    <xf numFmtId="0" fontId="0" fillId="0" borderId="5"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5" borderId="15" xfId="0" applyFont="1" applyFill="1" applyBorder="1" applyAlignment="1">
      <alignment wrapText="1"/>
    </xf>
    <xf numFmtId="0" fontId="27" fillId="0" borderId="0" xfId="0" applyFont="1" applyAlignment="1">
      <alignment horizontal="center" vertical="center"/>
    </xf>
    <xf numFmtId="0" fontId="24" fillId="0" borderId="0" xfId="0" applyFont="1" applyAlignment="1">
      <alignment horizontal="center" wrapText="1"/>
    </xf>
    <xf numFmtId="0" fontId="0" fillId="0" borderId="0" xfId="0" applyAlignment="1">
      <alignment horizontal="center" wrapText="1"/>
    </xf>
    <xf numFmtId="0" fontId="26" fillId="0" borderId="14"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8" fillId="0" borderId="17"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27" fillId="0" borderId="14" xfId="0" applyFont="1"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CourtlandAvLov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100"/>
  <sheetViews>
    <sheetView tabSelected="1" workbookViewId="0" topLeftCell="A1">
      <selection activeCell="A2" sqref="A2"/>
    </sheetView>
  </sheetViews>
  <sheetFormatPr defaultColWidth="9.140625" defaultRowHeight="12.75"/>
  <cols>
    <col min="1" max="1" width="30.8515625" style="0" customWidth="1"/>
    <col min="2" max="2" width="27.28125" style="0" customWidth="1"/>
    <col min="3" max="3" width="32.00390625" style="0" customWidth="1"/>
  </cols>
  <sheetData>
    <row r="1" spans="1:2" s="195" customFormat="1" ht="20.25">
      <c r="A1" s="193" t="s">
        <v>469</v>
      </c>
      <c r="B1" s="194"/>
    </row>
    <row r="2" spans="1:2" ht="15.75">
      <c r="A2" s="305" t="s">
        <v>595</v>
      </c>
      <c r="B2" s="38"/>
    </row>
    <row r="3" ht="12.75">
      <c r="B3" s="38"/>
    </row>
    <row r="4" spans="1:2" ht="15">
      <c r="A4" s="191" t="s">
        <v>79</v>
      </c>
      <c r="B4" s="38" t="s">
        <v>593</v>
      </c>
    </row>
    <row r="5" spans="1:2" ht="12.75">
      <c r="A5" s="38"/>
      <c r="B5" s="38"/>
    </row>
    <row r="6" spans="1:3" ht="14.25">
      <c r="A6" s="192" t="s">
        <v>438</v>
      </c>
      <c r="B6" s="222">
        <v>38938</v>
      </c>
      <c r="C6" s="190"/>
    </row>
    <row r="7" spans="1:3" ht="14.25">
      <c r="A7" s="192"/>
      <c r="B7" s="192"/>
      <c r="C7" s="190"/>
    </row>
    <row r="8" spans="1:3" ht="14.25">
      <c r="A8" s="192" t="s">
        <v>548</v>
      </c>
      <c r="B8" s="192"/>
      <c r="C8" s="190"/>
    </row>
    <row r="10" spans="2:3" ht="14.25">
      <c r="B10" s="192" t="s">
        <v>488</v>
      </c>
      <c r="C10" t="s">
        <v>489</v>
      </c>
    </row>
    <row r="11" ht="12.75">
      <c r="C11" t="s">
        <v>490</v>
      </c>
    </row>
    <row r="12" ht="12.75">
      <c r="C12" t="s">
        <v>491</v>
      </c>
    </row>
    <row r="13" ht="12.75">
      <c r="C13" t="s">
        <v>492</v>
      </c>
    </row>
    <row r="15" spans="2:3" ht="12.75">
      <c r="B15" t="s">
        <v>493</v>
      </c>
      <c r="C15" t="s">
        <v>494</v>
      </c>
    </row>
    <row r="17" spans="1:2" ht="12.75">
      <c r="A17" s="215">
        <v>38838</v>
      </c>
      <c r="B17" s="62" t="s">
        <v>497</v>
      </c>
    </row>
    <row r="18" spans="2:3" ht="15">
      <c r="B18" s="191" t="s">
        <v>79</v>
      </c>
      <c r="C18" t="s">
        <v>508</v>
      </c>
    </row>
    <row r="19" spans="2:3" ht="12.75">
      <c r="B19" s="62" t="s">
        <v>498</v>
      </c>
      <c r="C19" t="s">
        <v>499</v>
      </c>
    </row>
    <row r="20" spans="2:3" ht="12.75">
      <c r="B20" s="62" t="s">
        <v>500</v>
      </c>
      <c r="C20" t="s">
        <v>499</v>
      </c>
    </row>
    <row r="21" spans="2:3" ht="12.75">
      <c r="B21" s="62" t="s">
        <v>125</v>
      </c>
      <c r="C21" t="s">
        <v>499</v>
      </c>
    </row>
    <row r="22" spans="2:3" ht="12.75">
      <c r="B22" s="62" t="s">
        <v>97</v>
      </c>
      <c r="C22" t="s">
        <v>499</v>
      </c>
    </row>
    <row r="23" spans="2:3" ht="12.75">
      <c r="B23" s="3" t="s">
        <v>505</v>
      </c>
      <c r="C23" t="s">
        <v>499</v>
      </c>
    </row>
    <row r="24" spans="2:3" ht="12.75">
      <c r="B24" s="62" t="s">
        <v>506</v>
      </c>
      <c r="C24" t="s">
        <v>499</v>
      </c>
    </row>
    <row r="25" ht="12.75">
      <c r="A25" s="3"/>
    </row>
    <row r="26" ht="12.75">
      <c r="A26" s="215">
        <v>38882</v>
      </c>
    </row>
    <row r="27" spans="2:3" ht="15">
      <c r="B27" s="191" t="s">
        <v>79</v>
      </c>
      <c r="C27" t="s">
        <v>507</v>
      </c>
    </row>
    <row r="28" spans="2:3" ht="15.75">
      <c r="B28" s="219" t="s">
        <v>503</v>
      </c>
      <c r="C28" t="s">
        <v>512</v>
      </c>
    </row>
    <row r="29" ht="12.75">
      <c r="B29" t="s">
        <v>509</v>
      </c>
    </row>
    <row r="30" spans="2:3" ht="12.75">
      <c r="B30" s="215" t="s">
        <v>511</v>
      </c>
      <c r="C30" t="s">
        <v>512</v>
      </c>
    </row>
    <row r="31" ht="12.75">
      <c r="B31" s="215"/>
    </row>
    <row r="32" ht="12.75">
      <c r="A32" s="215">
        <v>38887</v>
      </c>
    </row>
    <row r="33" spans="2:3" ht="12.75">
      <c r="B33" t="s">
        <v>513</v>
      </c>
      <c r="C33" t="s">
        <v>514</v>
      </c>
    </row>
    <row r="35" spans="1:2" ht="12.75">
      <c r="A35" s="215">
        <v>38890</v>
      </c>
      <c r="B35" t="s">
        <v>545</v>
      </c>
    </row>
    <row r="36" ht="12.75">
      <c r="B36" s="62" t="s">
        <v>546</v>
      </c>
    </row>
    <row r="37" ht="12.75">
      <c r="B37" s="304" t="s">
        <v>547</v>
      </c>
    </row>
    <row r="38" ht="12.75">
      <c r="A38" s="215"/>
    </row>
    <row r="39" spans="1:2" ht="12.75">
      <c r="A39" s="215">
        <v>38895</v>
      </c>
      <c r="B39" t="s">
        <v>549</v>
      </c>
    </row>
    <row r="40" ht="12.75">
      <c r="A40" s="215"/>
    </row>
    <row r="41" spans="1:2" ht="12.75">
      <c r="A41" s="215">
        <v>38929</v>
      </c>
      <c r="B41" t="s">
        <v>550</v>
      </c>
    </row>
    <row r="42" spans="1:2" ht="12.75">
      <c r="A42" s="3"/>
      <c r="B42" t="s">
        <v>580</v>
      </c>
    </row>
    <row r="43" spans="1:2" ht="12.75">
      <c r="A43" s="3"/>
      <c r="B43" t="s">
        <v>578</v>
      </c>
    </row>
    <row r="44" spans="1:2" ht="12.75">
      <c r="A44" s="3"/>
      <c r="B44" t="s">
        <v>579</v>
      </c>
    </row>
    <row r="45" spans="1:2" ht="12.75">
      <c r="A45" s="3"/>
      <c r="B45" t="s">
        <v>581</v>
      </c>
    </row>
    <row r="46" ht="12.75">
      <c r="A46" s="3"/>
    </row>
    <row r="47" spans="1:2" ht="12.75">
      <c r="A47" s="321">
        <v>38930</v>
      </c>
      <c r="B47" t="s">
        <v>564</v>
      </c>
    </row>
    <row r="48" spans="1:2" ht="12.75">
      <c r="A48" s="3"/>
      <c r="B48" t="s">
        <v>563</v>
      </c>
    </row>
    <row r="49" spans="1:2" ht="12.75">
      <c r="A49" s="321">
        <v>38931</v>
      </c>
      <c r="B49" t="s">
        <v>565</v>
      </c>
    </row>
    <row r="50" spans="1:2" ht="12.75">
      <c r="A50" s="3"/>
      <c r="B50" t="s">
        <v>566</v>
      </c>
    </row>
    <row r="52" ht="12.75">
      <c r="B52" t="s">
        <v>567</v>
      </c>
    </row>
    <row r="53" ht="12.75">
      <c r="B53" t="s">
        <v>571</v>
      </c>
    </row>
    <row r="54" ht="12.75">
      <c r="B54" t="s">
        <v>570</v>
      </c>
    </row>
    <row r="56" ht="12.75">
      <c r="B56" t="s">
        <v>572</v>
      </c>
    </row>
    <row r="58" spans="1:2" ht="12.75">
      <c r="A58" s="321">
        <v>38935</v>
      </c>
      <c r="B58" t="s">
        <v>573</v>
      </c>
    </row>
    <row r="59" spans="1:2" ht="12.75">
      <c r="A59" s="3"/>
      <c r="B59" t="s">
        <v>582</v>
      </c>
    </row>
    <row r="60" ht="12.75">
      <c r="B60" t="s">
        <v>583</v>
      </c>
    </row>
    <row r="62" spans="1:2" ht="12.75">
      <c r="A62" s="215">
        <v>38937</v>
      </c>
      <c r="B62" t="s">
        <v>592</v>
      </c>
    </row>
    <row r="63" ht="12.75">
      <c r="B63" t="s">
        <v>587</v>
      </c>
    </row>
    <row r="64" ht="12.75">
      <c r="B64" t="s">
        <v>588</v>
      </c>
    </row>
    <row r="65" ht="12.75">
      <c r="B65" t="s">
        <v>589</v>
      </c>
    </row>
    <row r="66" ht="12.75">
      <c r="B66" t="s">
        <v>590</v>
      </c>
    </row>
    <row r="67" ht="12.75">
      <c r="B67" t="s">
        <v>591</v>
      </c>
    </row>
    <row r="68" ht="12.75">
      <c r="A68" s="80"/>
    </row>
    <row r="78" ht="12.75">
      <c r="A78" s="3"/>
    </row>
    <row r="85" ht="12.75">
      <c r="A85" s="3"/>
    </row>
    <row r="96" ht="12.75">
      <c r="A96" s="97"/>
    </row>
    <row r="97" ht="12.75">
      <c r="A97" s="62"/>
    </row>
    <row r="98" ht="12.75">
      <c r="A98" s="62"/>
    </row>
    <row r="99" ht="12.75">
      <c r="A99" s="62"/>
    </row>
    <row r="100" ht="12.75">
      <c r="A100" s="62"/>
    </row>
  </sheetData>
  <printOptions horizontalCentered="1" verticalCentered="1"/>
  <pageMargins left="0.56" right="0.51" top="0.57" bottom="0.56" header="0.5" footer="0.5"/>
  <pageSetup fitToHeight="2" fitToWidth="1" horizontalDpi="600" verticalDpi="600" orientation="portrait" scale="71"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G72"/>
  <sheetViews>
    <sheetView workbookViewId="0" topLeftCell="A1">
      <selection activeCell="A1" sqref="A1"/>
    </sheetView>
  </sheetViews>
  <sheetFormatPr defaultColWidth="9.140625" defaultRowHeight="12.75"/>
  <cols>
    <col min="1" max="1" width="69.57421875" style="0" customWidth="1"/>
    <col min="2" max="2" width="9.7109375" style="0" customWidth="1"/>
  </cols>
  <sheetData>
    <row r="1" spans="1:7" ht="15.75">
      <c r="A1" s="59" t="s">
        <v>222</v>
      </c>
      <c r="B1">
        <f>INPUT!C1</f>
        <v>2005</v>
      </c>
      <c r="C1">
        <v>2003</v>
      </c>
      <c r="D1">
        <v>2004</v>
      </c>
      <c r="E1" s="309">
        <v>2005</v>
      </c>
      <c r="F1" s="309">
        <v>2006</v>
      </c>
      <c r="G1" s="309">
        <v>2007</v>
      </c>
    </row>
    <row r="2" ht="12.75"/>
    <row r="3" ht="15.75">
      <c r="A3" s="10" t="s">
        <v>174</v>
      </c>
    </row>
    <row r="4" ht="12.75">
      <c r="A4" s="8" t="s">
        <v>175</v>
      </c>
    </row>
    <row r="5" spans="1:5" ht="12.75">
      <c r="A5" s="52" t="str">
        <f>+INPUT!B53</f>
        <v>Imported Water Nebraska</v>
      </c>
      <c r="B5" s="52">
        <f>+INPUT!C53</f>
        <v>35</v>
      </c>
      <c r="C5">
        <v>20</v>
      </c>
      <c r="D5">
        <v>25</v>
      </c>
      <c r="E5">
        <f>D5</f>
        <v>25</v>
      </c>
    </row>
    <row r="6" spans="1:5" ht="12.75">
      <c r="A6" s="52" t="str">
        <f>+INPUT!B25</f>
        <v>GW CBCU Colorado</v>
      </c>
      <c r="B6" s="52">
        <f>+INPUT!C25</f>
        <v>0</v>
      </c>
      <c r="C6">
        <v>0</v>
      </c>
      <c r="D6">
        <v>0</v>
      </c>
      <c r="E6">
        <f>D6</f>
        <v>0</v>
      </c>
    </row>
    <row r="7" spans="1:5" ht="12.75">
      <c r="A7" s="52" t="str">
        <f>+INPUT!B26</f>
        <v>GW CBCU Kansas</v>
      </c>
      <c r="B7" s="52">
        <f>+INPUT!C26</f>
        <v>0</v>
      </c>
      <c r="C7">
        <v>0</v>
      </c>
      <c r="D7">
        <v>0</v>
      </c>
      <c r="E7">
        <f aca="true" t="shared" si="0" ref="E7:E70">D7</f>
        <v>0</v>
      </c>
    </row>
    <row r="8" spans="1:5" ht="12" customHeight="1">
      <c r="A8" s="52" t="str">
        <f>+INPUT!B27</f>
        <v>GW CBCU Nebraska</v>
      </c>
      <c r="B8" s="52">
        <f>+INPUT!C27</f>
        <v>8305</v>
      </c>
      <c r="C8">
        <v>7815</v>
      </c>
      <c r="D8">
        <v>8221</v>
      </c>
      <c r="E8">
        <f t="shared" si="0"/>
        <v>8221</v>
      </c>
    </row>
    <row r="9" spans="1:5" ht="12" customHeight="1">
      <c r="A9" s="9" t="s">
        <v>81</v>
      </c>
      <c r="B9" s="9"/>
      <c r="E9">
        <f t="shared" si="0"/>
        <v>0</v>
      </c>
    </row>
    <row r="10" spans="1:5" ht="12.75">
      <c r="A10" s="5" t="s">
        <v>209</v>
      </c>
      <c r="B10" s="2"/>
      <c r="E10">
        <f t="shared" si="0"/>
        <v>0</v>
      </c>
    </row>
    <row r="11" spans="1:5" ht="12.75">
      <c r="A11" s="57" t="str">
        <f>+INPUT!B244</f>
        <v>Red Willow Canal % Return Flow</v>
      </c>
      <c r="B11" s="57">
        <f>+INPUT!C244</f>
        <v>1</v>
      </c>
      <c r="C11">
        <v>1</v>
      </c>
      <c r="D11">
        <v>1</v>
      </c>
      <c r="E11">
        <f t="shared" si="0"/>
        <v>1</v>
      </c>
    </row>
    <row r="12" spans="1:5" ht="12.75">
      <c r="A12" s="2" t="s">
        <v>81</v>
      </c>
      <c r="B12" s="2"/>
      <c r="E12">
        <f t="shared" si="0"/>
        <v>0</v>
      </c>
    </row>
    <row r="13" spans="1:5" ht="12.75">
      <c r="A13" s="5" t="s">
        <v>177</v>
      </c>
      <c r="B13" s="2"/>
      <c r="E13">
        <f t="shared" si="0"/>
        <v>0</v>
      </c>
    </row>
    <row r="14" spans="1:5" ht="12.75">
      <c r="A14" s="52" t="str">
        <f>+INPUT!B190</f>
        <v>Red Willow Creek Near Red Willow</v>
      </c>
      <c r="B14" s="58">
        <f>+INPUT!C190</f>
        <v>3791</v>
      </c>
      <c r="C14">
        <v>3970</v>
      </c>
      <c r="D14">
        <v>3555</v>
      </c>
      <c r="E14">
        <f t="shared" si="0"/>
        <v>3555</v>
      </c>
    </row>
    <row r="15" spans="1:5" ht="12.75">
      <c r="A15" s="52" t="str">
        <f>+INPUT!B218</f>
        <v>Hugh Butler Lake Evaporation</v>
      </c>
      <c r="B15" s="52">
        <f>+INPUT!C218</f>
        <v>2230.2614166666667</v>
      </c>
      <c r="C15">
        <v>2377</v>
      </c>
      <c r="D15">
        <v>2025.5</v>
      </c>
      <c r="E15">
        <f t="shared" si="0"/>
        <v>2025.5</v>
      </c>
    </row>
    <row r="16" spans="1:5" ht="12.75">
      <c r="A16" s="52" t="str">
        <f>+INPUT!B219</f>
        <v>Hugh Butler Lake Change In Storage</v>
      </c>
      <c r="B16" s="52">
        <f>+INPUT!C219</f>
        <v>1800</v>
      </c>
      <c r="C16">
        <v>2947</v>
      </c>
      <c r="D16">
        <v>2800</v>
      </c>
      <c r="E16">
        <f t="shared" si="0"/>
        <v>2800</v>
      </c>
    </row>
    <row r="17" spans="1:5" ht="12.75">
      <c r="A17" s="52" t="str">
        <f>+INPUT!B243</f>
        <v>Red Willow Canal Diversions</v>
      </c>
      <c r="B17" s="52">
        <f>+INPUT!C243</f>
        <v>0</v>
      </c>
      <c r="C17">
        <v>0</v>
      </c>
      <c r="D17">
        <v>0</v>
      </c>
      <c r="E17">
        <f t="shared" si="0"/>
        <v>0</v>
      </c>
    </row>
    <row r="18" spans="1:5" ht="12.75">
      <c r="A18" s="107" t="str">
        <f>+INPUT!B101</f>
        <v>SW Diversions - Irrigation - Non-Federal Canals - Nebraska</v>
      </c>
      <c r="B18" s="107">
        <f>+INPUT!C101</f>
        <v>0</v>
      </c>
      <c r="C18">
        <v>0</v>
      </c>
      <c r="D18">
        <v>0</v>
      </c>
      <c r="E18">
        <f t="shared" si="0"/>
        <v>0</v>
      </c>
    </row>
    <row r="19" spans="1:5" ht="12.75">
      <c r="A19" s="107" t="str">
        <f>+INPUT!B102</f>
        <v>SW Diversions - Irrigation - Small Pumps - Nebraska</v>
      </c>
      <c r="B19" s="107">
        <f>+INPUT!C102</f>
        <v>123.25</v>
      </c>
      <c r="C19">
        <v>341</v>
      </c>
      <c r="D19">
        <v>167</v>
      </c>
      <c r="E19">
        <f t="shared" si="0"/>
        <v>167</v>
      </c>
    </row>
    <row r="20" spans="1:5" ht="12.75">
      <c r="A20" s="107" t="str">
        <f>+INPUT!B103</f>
        <v>SW Diversions - M&amp;I - Nebraska</v>
      </c>
      <c r="B20" s="107">
        <f>+INPUT!C103</f>
        <v>0</v>
      </c>
      <c r="C20">
        <v>0</v>
      </c>
      <c r="D20">
        <v>0</v>
      </c>
      <c r="E20">
        <f t="shared" si="0"/>
        <v>0</v>
      </c>
    </row>
    <row r="21" spans="1:5" ht="12.75">
      <c r="A21" s="107" t="str">
        <f>+INPUT!B166</f>
        <v>Non-Federal Reservoir Evaporation - Nebraska</v>
      </c>
      <c r="B21" s="107">
        <f>+INPUT!C166</f>
        <v>181.9</v>
      </c>
      <c r="C21">
        <v>0</v>
      </c>
      <c r="D21">
        <v>155.4</v>
      </c>
      <c r="E21">
        <f t="shared" si="0"/>
        <v>155.4</v>
      </c>
    </row>
    <row r="22" spans="1:5" ht="12.75">
      <c r="A22" s="107" t="str">
        <f>+INPUT!B206</f>
        <v>Red Willow Flood Flow</v>
      </c>
      <c r="B22" s="107">
        <f>+INPUT!C206</f>
        <v>0</v>
      </c>
      <c r="C22">
        <v>0</v>
      </c>
      <c r="D22">
        <v>0</v>
      </c>
      <c r="E22">
        <f t="shared" si="0"/>
        <v>0</v>
      </c>
    </row>
    <row r="23" spans="1:5" ht="12.75">
      <c r="A23" s="122" t="s">
        <v>81</v>
      </c>
      <c r="B23" s="16"/>
      <c r="E23">
        <f t="shared" si="0"/>
        <v>0</v>
      </c>
    </row>
    <row r="24" spans="1:5" ht="15.75">
      <c r="A24" s="10" t="s">
        <v>258</v>
      </c>
      <c r="B24" s="16"/>
      <c r="E24">
        <f t="shared" si="0"/>
        <v>0</v>
      </c>
    </row>
    <row r="25" spans="1:5" ht="12.75">
      <c r="A25" s="8" t="s">
        <v>0</v>
      </c>
      <c r="B25" s="16"/>
      <c r="E25">
        <f t="shared" si="0"/>
        <v>0</v>
      </c>
    </row>
    <row r="26" spans="1:5" ht="12.75">
      <c r="A26" s="16" t="str">
        <f>'NORTH FORK'!A28</f>
        <v>GW CBCU</v>
      </c>
      <c r="B26" s="16">
        <f>+B6</f>
        <v>0</v>
      </c>
      <c r="C26">
        <v>0</v>
      </c>
      <c r="D26">
        <v>0</v>
      </c>
      <c r="E26">
        <f t="shared" si="0"/>
        <v>0</v>
      </c>
    </row>
    <row r="27" spans="1:5" ht="12.75">
      <c r="A27" s="16" t="str">
        <f>'NORTH FORK'!A29</f>
        <v>Total CBCU</v>
      </c>
      <c r="B27" s="73">
        <f>(ROUND(SUM(B26:B26),-1))</f>
        <v>0</v>
      </c>
      <c r="C27">
        <v>0</v>
      </c>
      <c r="D27">
        <v>0</v>
      </c>
      <c r="E27">
        <f t="shared" si="0"/>
        <v>0</v>
      </c>
    </row>
    <row r="28" spans="1:5" ht="12.75">
      <c r="A28" s="16" t="s">
        <v>81</v>
      </c>
      <c r="B28" s="16"/>
      <c r="E28">
        <f t="shared" si="0"/>
        <v>0</v>
      </c>
    </row>
    <row r="29" spans="1:5" ht="12.75">
      <c r="A29" s="8" t="s">
        <v>178</v>
      </c>
      <c r="B29" s="16"/>
      <c r="E29">
        <f t="shared" si="0"/>
        <v>0</v>
      </c>
    </row>
    <row r="30" spans="1:5" ht="12.75">
      <c r="A30" s="16" t="str">
        <f>'NORTH FORK'!A32</f>
        <v>GW CBCU</v>
      </c>
      <c r="B30" s="16">
        <f>+B7</f>
        <v>0</v>
      </c>
      <c r="C30">
        <v>0</v>
      </c>
      <c r="D30">
        <v>0</v>
      </c>
      <c r="E30">
        <f t="shared" si="0"/>
        <v>0</v>
      </c>
    </row>
    <row r="31" spans="1:5" ht="12.75">
      <c r="A31" s="16" t="str">
        <f>'NORTH FORK'!A33</f>
        <v>Total CBCU</v>
      </c>
      <c r="B31" s="73">
        <f>(ROUND(SUM(B30:B30),-1))</f>
        <v>0</v>
      </c>
      <c r="C31">
        <v>0</v>
      </c>
      <c r="D31">
        <v>0</v>
      </c>
      <c r="E31">
        <f t="shared" si="0"/>
        <v>0</v>
      </c>
    </row>
    <row r="32" spans="1:5" ht="12.75">
      <c r="A32" s="16" t="s">
        <v>81</v>
      </c>
      <c r="B32" s="16"/>
      <c r="E32">
        <f t="shared" si="0"/>
        <v>0</v>
      </c>
    </row>
    <row r="33" spans="1:5" ht="12.75">
      <c r="A33" s="8" t="s">
        <v>1</v>
      </c>
      <c r="B33" s="16"/>
      <c r="E33">
        <f t="shared" si="0"/>
        <v>0</v>
      </c>
    </row>
    <row r="34" spans="1:5" ht="12.75">
      <c r="A34" s="16" t="str">
        <f>((LEFT(A17,16)&amp;" "&amp;"CBCU (10%)"))</f>
        <v>Red Willow Canal CBCU (10%)</v>
      </c>
      <c r="B34" s="16">
        <f>+(B17*(1-B11))*0.1</f>
        <v>0</v>
      </c>
      <c r="C34">
        <v>0</v>
      </c>
      <c r="D34">
        <v>0</v>
      </c>
      <c r="E34">
        <f t="shared" si="0"/>
        <v>0</v>
      </c>
    </row>
    <row r="35" spans="1:5" ht="12.75">
      <c r="A35" s="16" t="str">
        <f>'NORTH FORK'!A23</f>
        <v>SW CBCU - Irrigation - Non Federal Canals</v>
      </c>
      <c r="B35" s="73">
        <f>B18*CanalCUPercent</f>
        <v>0</v>
      </c>
      <c r="C35">
        <v>0</v>
      </c>
      <c r="D35">
        <v>0</v>
      </c>
      <c r="E35">
        <f t="shared" si="0"/>
        <v>0</v>
      </c>
    </row>
    <row r="36" spans="1:5" ht="12.75">
      <c r="A36" s="16" t="str">
        <f>'NORTH FORK'!A24</f>
        <v>SW CBCU - Irrigation - Small Pumps</v>
      </c>
      <c r="B36" s="73">
        <f>B19*PumperCUPercent</f>
        <v>92.4375</v>
      </c>
      <c r="C36">
        <v>255.75</v>
      </c>
      <c r="D36">
        <v>125.25</v>
      </c>
      <c r="E36">
        <f t="shared" si="0"/>
        <v>125.25</v>
      </c>
    </row>
    <row r="37" spans="1:5" ht="12.75">
      <c r="A37" s="16" t="str">
        <f>'NORTH FORK'!A25</f>
        <v>SW CBCU - M&amp;I</v>
      </c>
      <c r="B37" s="16">
        <f>B20*MI_CUPercent</f>
        <v>0</v>
      </c>
      <c r="C37">
        <v>0</v>
      </c>
      <c r="D37">
        <v>0</v>
      </c>
      <c r="E37">
        <f t="shared" si="0"/>
        <v>0</v>
      </c>
    </row>
    <row r="38" spans="1:5" ht="12.75">
      <c r="A38" s="16" t="str">
        <f>(LEFT(A15,28))&amp;" "&amp;"(10%)"</f>
        <v>Hugh Butler Lake Evaporation (10%)</v>
      </c>
      <c r="B38" s="73">
        <f>+B15*0.1</f>
        <v>223.0261416666667</v>
      </c>
      <c r="C38">
        <v>237.7</v>
      </c>
      <c r="D38">
        <v>202.55</v>
      </c>
      <c r="E38">
        <f t="shared" si="0"/>
        <v>202.55</v>
      </c>
    </row>
    <row r="39" spans="1:5" ht="12.75">
      <c r="A39" s="98" t="str">
        <f>'NORTH FORK'!A26</f>
        <v>Non-Federal Reservoir Evaporation</v>
      </c>
      <c r="B39" s="16">
        <f>B21</f>
        <v>181.9</v>
      </c>
      <c r="C39">
        <v>0</v>
      </c>
      <c r="D39">
        <v>155.4</v>
      </c>
      <c r="E39">
        <f t="shared" si="0"/>
        <v>155.4</v>
      </c>
    </row>
    <row r="40" spans="1:5" ht="12.75">
      <c r="A40" s="16" t="str">
        <f>'NORTH FORK'!A27</f>
        <v>SW CBCU</v>
      </c>
      <c r="B40" s="73">
        <f>B34+B35+B36+B37+B38+B39</f>
        <v>497.3636416666667</v>
      </c>
      <c r="C40">
        <v>493.45</v>
      </c>
      <c r="D40">
        <v>483.2</v>
      </c>
      <c r="E40">
        <f t="shared" si="0"/>
        <v>483.2</v>
      </c>
    </row>
    <row r="41" spans="1:5" ht="12.75">
      <c r="A41" s="16" t="str">
        <f>'NORTH FORK'!A28</f>
        <v>GW CBCU</v>
      </c>
      <c r="B41" s="16">
        <f>+B8</f>
        <v>8305</v>
      </c>
      <c r="C41">
        <v>7815</v>
      </c>
      <c r="D41">
        <v>8221</v>
      </c>
      <c r="E41">
        <f t="shared" si="0"/>
        <v>8221</v>
      </c>
    </row>
    <row r="42" spans="1:5" ht="12.75">
      <c r="A42" s="16" t="str">
        <f>'NORTH FORK'!A29</f>
        <v>Total CBCU</v>
      </c>
      <c r="B42" s="73">
        <f>(ROUND(SUM(B40:B41),-1))</f>
        <v>8800</v>
      </c>
      <c r="C42">
        <v>8310</v>
      </c>
      <c r="D42">
        <v>8700</v>
      </c>
      <c r="E42">
        <f t="shared" si="0"/>
        <v>8700</v>
      </c>
    </row>
    <row r="43" spans="1:5" ht="12.75">
      <c r="A43" s="98" t="s">
        <v>81</v>
      </c>
      <c r="B43" s="16"/>
      <c r="E43">
        <f t="shared" si="0"/>
        <v>0</v>
      </c>
    </row>
    <row r="44" spans="1:5" ht="12.75">
      <c r="A44" s="5" t="s">
        <v>179</v>
      </c>
      <c r="B44" s="16"/>
      <c r="E44">
        <f t="shared" si="0"/>
        <v>0</v>
      </c>
    </row>
    <row r="45" spans="1:5" ht="12.75">
      <c r="A45" s="98" t="str">
        <f>'NORTH FORK'!A42</f>
        <v>Total SW CBCU</v>
      </c>
      <c r="B45" s="73">
        <f>+B40</f>
        <v>497.3636416666667</v>
      </c>
      <c r="C45">
        <v>493.45</v>
      </c>
      <c r="D45">
        <v>483.2</v>
      </c>
      <c r="E45">
        <f t="shared" si="0"/>
        <v>483.2</v>
      </c>
    </row>
    <row r="46" spans="1:5" ht="12.75">
      <c r="A46" s="98" t="str">
        <f>'NORTH FORK'!A43</f>
        <v>Total GW CBCU</v>
      </c>
      <c r="B46" s="73">
        <f>+B26+B30+B41</f>
        <v>8305</v>
      </c>
      <c r="C46">
        <v>7815</v>
      </c>
      <c r="D46">
        <v>8221</v>
      </c>
      <c r="E46">
        <f t="shared" si="0"/>
        <v>8221</v>
      </c>
    </row>
    <row r="47" spans="1:5" ht="12.75">
      <c r="A47" s="98" t="str">
        <f>'NORTH FORK'!A44</f>
        <v>Total Basin CBCU</v>
      </c>
      <c r="B47" s="73">
        <f>(ROUND(SUM(B45:B46),-1))</f>
        <v>8800</v>
      </c>
      <c r="C47">
        <v>8310</v>
      </c>
      <c r="D47">
        <v>8700</v>
      </c>
      <c r="E47">
        <f t="shared" si="0"/>
        <v>8700</v>
      </c>
    </row>
    <row r="48" spans="1:5" ht="12.75">
      <c r="A48" s="98" t="s">
        <v>81</v>
      </c>
      <c r="B48" s="16"/>
      <c r="E48">
        <f t="shared" si="0"/>
        <v>0</v>
      </c>
    </row>
    <row r="49" spans="1:5" ht="15.75">
      <c r="A49" s="11" t="s">
        <v>10</v>
      </c>
      <c r="B49" s="16"/>
      <c r="E49">
        <f t="shared" si="0"/>
        <v>0</v>
      </c>
    </row>
    <row r="50" spans="1:5" ht="12.75">
      <c r="A50" s="73" t="str">
        <f>A14</f>
        <v>Red Willow Creek Near Red Willow</v>
      </c>
      <c r="B50" s="73">
        <f>B14</f>
        <v>3791</v>
      </c>
      <c r="C50">
        <v>3970</v>
      </c>
      <c r="D50">
        <v>3555</v>
      </c>
      <c r="E50">
        <f t="shared" si="0"/>
        <v>3555</v>
      </c>
    </row>
    <row r="51" spans="1:5" ht="12.75">
      <c r="A51" s="16" t="str">
        <f>(LEFT(A34,22))&amp;" "&amp;"(90%)"</f>
        <v>Red Willow Canal CBCU  (90%)</v>
      </c>
      <c r="B51" s="73">
        <f>0.9*(B17*(1-B11))</f>
        <v>0</v>
      </c>
      <c r="C51">
        <v>0</v>
      </c>
      <c r="D51">
        <v>0</v>
      </c>
      <c r="E51">
        <f t="shared" si="0"/>
        <v>0</v>
      </c>
    </row>
    <row r="52" spans="1:5" ht="12.75">
      <c r="A52" s="16" t="str">
        <f>'NORTH FORK'!A49</f>
        <v>Colorado CBCU</v>
      </c>
      <c r="B52" s="73">
        <f>+B27</f>
        <v>0</v>
      </c>
      <c r="C52">
        <v>0</v>
      </c>
      <c r="D52">
        <v>0</v>
      </c>
      <c r="E52">
        <f t="shared" si="0"/>
        <v>0</v>
      </c>
    </row>
    <row r="53" spans="1:5" ht="12.75">
      <c r="A53" s="16" t="str">
        <f>'NORTH FORK'!A50</f>
        <v>Kansas CBCU</v>
      </c>
      <c r="B53" s="73">
        <f>+B31</f>
        <v>0</v>
      </c>
      <c r="C53">
        <v>0</v>
      </c>
      <c r="D53">
        <v>0</v>
      </c>
      <c r="E53">
        <f t="shared" si="0"/>
        <v>0</v>
      </c>
    </row>
    <row r="54" spans="1:5" ht="12.75">
      <c r="A54" s="16" t="str">
        <f>'NORTH FORK'!A51</f>
        <v>Nebraska CBCU</v>
      </c>
      <c r="B54" s="73">
        <f>+B42</f>
        <v>8800</v>
      </c>
      <c r="C54">
        <v>8310</v>
      </c>
      <c r="D54">
        <v>8700</v>
      </c>
      <c r="E54">
        <f t="shared" si="0"/>
        <v>8700</v>
      </c>
    </row>
    <row r="55" spans="1:5" ht="12.75">
      <c r="A55" s="16" t="str">
        <f>A16</f>
        <v>Hugh Butler Lake Change In Storage</v>
      </c>
      <c r="B55" s="16">
        <f>+B16</f>
        <v>1800</v>
      </c>
      <c r="C55">
        <v>2947</v>
      </c>
      <c r="D55">
        <v>2800</v>
      </c>
      <c r="E55">
        <f t="shared" si="0"/>
        <v>2800</v>
      </c>
    </row>
    <row r="56" spans="1:5" ht="12.75">
      <c r="A56" s="16" t="str">
        <f>(LEFT(A15,28))&amp;" "&amp;"(90%)"</f>
        <v>Hugh Butler Lake Evaporation (90%)</v>
      </c>
      <c r="B56" s="16">
        <f>+B15*0.9</f>
        <v>2007.235275</v>
      </c>
      <c r="C56">
        <v>2139.3</v>
      </c>
      <c r="D56">
        <v>1822.95</v>
      </c>
      <c r="E56">
        <f t="shared" si="0"/>
        <v>1822.95</v>
      </c>
    </row>
    <row r="57" spans="1:5" ht="12.75">
      <c r="A57" s="16" t="s">
        <v>243</v>
      </c>
      <c r="B57" s="16">
        <f>0.9*(B17*B11)</f>
        <v>0</v>
      </c>
      <c r="C57">
        <v>0</v>
      </c>
      <c r="D57">
        <v>0</v>
      </c>
      <c r="E57">
        <f t="shared" si="0"/>
        <v>0</v>
      </c>
    </row>
    <row r="58" spans="1:5" ht="12.75">
      <c r="A58" s="16" t="str">
        <f>'NORTH FORK'!A52</f>
        <v>Imported Water</v>
      </c>
      <c r="B58" s="16">
        <f>+B5</f>
        <v>35</v>
      </c>
      <c r="C58">
        <v>20</v>
      </c>
      <c r="D58">
        <v>25</v>
      </c>
      <c r="E58">
        <f t="shared" si="0"/>
        <v>25</v>
      </c>
    </row>
    <row r="59" spans="1:5" ht="12.75">
      <c r="A59" s="16" t="str">
        <f>'NORTH FORK'!A53</f>
        <v>Virgin Water Supply</v>
      </c>
      <c r="B59" s="73">
        <f>ROUND(B50+B52+B53+B54+B51+B56+B57+B55-B58,-1)</f>
        <v>16360</v>
      </c>
      <c r="C59">
        <v>17350</v>
      </c>
      <c r="D59">
        <v>16850</v>
      </c>
      <c r="E59">
        <f t="shared" si="0"/>
        <v>16850</v>
      </c>
    </row>
    <row r="60" spans="1:5" ht="12.75">
      <c r="A60" s="16" t="str">
        <f>'NORTH FORK'!A54</f>
        <v>Adjustment For Flood Flows</v>
      </c>
      <c r="B60" s="16">
        <f>B22</f>
        <v>0</v>
      </c>
      <c r="C60">
        <v>0</v>
      </c>
      <c r="D60">
        <v>0</v>
      </c>
      <c r="E60">
        <f t="shared" si="0"/>
        <v>0</v>
      </c>
    </row>
    <row r="61" spans="1:5" ht="12.75">
      <c r="A61" s="16" t="str">
        <f>'NORTH FORK'!A55</f>
        <v>Computed Water Supply</v>
      </c>
      <c r="B61" s="73">
        <f>ROUND(+B59-B60-B55,-1)</f>
        <v>14560</v>
      </c>
      <c r="C61">
        <v>14400</v>
      </c>
      <c r="D61">
        <v>14050</v>
      </c>
      <c r="E61">
        <f t="shared" si="0"/>
        <v>14050</v>
      </c>
    </row>
    <row r="62" spans="1:5" ht="12.75">
      <c r="A62" s="98" t="s">
        <v>81</v>
      </c>
      <c r="B62" s="16"/>
      <c r="E62">
        <f t="shared" si="0"/>
        <v>0</v>
      </c>
    </row>
    <row r="63" spans="1:5" ht="15.75">
      <c r="A63" s="11" t="s">
        <v>12</v>
      </c>
      <c r="B63" s="13"/>
      <c r="E63">
        <f t="shared" si="0"/>
        <v>0</v>
      </c>
    </row>
    <row r="64" spans="1:5" ht="12.75">
      <c r="A64" s="16" t="str">
        <f>'NORTH FORK'!A58</f>
        <v>Colorado Percent Of Allocation</v>
      </c>
      <c r="B64" s="126">
        <f>'T2'!D10</f>
        <v>0</v>
      </c>
      <c r="C64">
        <v>0</v>
      </c>
      <c r="D64">
        <v>0</v>
      </c>
      <c r="E64">
        <f t="shared" si="0"/>
        <v>0</v>
      </c>
    </row>
    <row r="65" spans="1:5" ht="12.75">
      <c r="A65" s="16" t="str">
        <f>'NORTH FORK'!A59</f>
        <v>Colorado Allocation</v>
      </c>
      <c r="B65" s="73">
        <f>ROUND(+B61*B64,-1)</f>
        <v>0</v>
      </c>
      <c r="C65">
        <v>0</v>
      </c>
      <c r="D65">
        <v>0</v>
      </c>
      <c r="E65">
        <f t="shared" si="0"/>
        <v>0</v>
      </c>
    </row>
    <row r="66" spans="1:5" ht="12.75">
      <c r="A66" s="16" t="str">
        <f>'NORTH FORK'!A60</f>
        <v>Kansas Percent Of Allocation</v>
      </c>
      <c r="B66" s="126">
        <f>'T2'!F10</f>
        <v>0</v>
      </c>
      <c r="C66">
        <v>0</v>
      </c>
      <c r="D66">
        <v>0</v>
      </c>
      <c r="E66">
        <f t="shared" si="0"/>
        <v>0</v>
      </c>
    </row>
    <row r="67" spans="1:5" ht="12.75">
      <c r="A67" s="16" t="str">
        <f>'NORTH FORK'!A61</f>
        <v>Kansas Allocation</v>
      </c>
      <c r="B67" s="73">
        <f>ROUND(B61*B66,-1)</f>
        <v>0</v>
      </c>
      <c r="C67">
        <v>0</v>
      </c>
      <c r="D67">
        <v>0</v>
      </c>
      <c r="E67">
        <f t="shared" si="0"/>
        <v>0</v>
      </c>
    </row>
    <row r="68" spans="1:5" ht="12.75">
      <c r="A68" s="16" t="str">
        <f>'NORTH FORK'!A62</f>
        <v>Nebraska Percent Of Allocation</v>
      </c>
      <c r="B68" s="126">
        <f>'T2'!H10</f>
        <v>0.192</v>
      </c>
      <c r="C68">
        <v>0.192</v>
      </c>
      <c r="D68">
        <v>0.192</v>
      </c>
      <c r="E68">
        <f t="shared" si="0"/>
        <v>0.192</v>
      </c>
    </row>
    <row r="69" spans="1:5" ht="12.75">
      <c r="A69" s="16" t="str">
        <f>'NORTH FORK'!A63</f>
        <v>Nebraska Allocation</v>
      </c>
      <c r="B69" s="73">
        <f>ROUND(B61*B68,-1)</f>
        <v>2800</v>
      </c>
      <c r="C69">
        <v>2760</v>
      </c>
      <c r="D69">
        <v>2700</v>
      </c>
      <c r="E69">
        <f t="shared" si="0"/>
        <v>2700</v>
      </c>
    </row>
    <row r="70" spans="1:5" ht="12.75">
      <c r="A70" s="2" t="str">
        <f>'NORTH FORK'!A64</f>
        <v>Total Basin Allocation</v>
      </c>
      <c r="B70" s="4">
        <f>+B65+B67+B69</f>
        <v>2800</v>
      </c>
      <c r="C70">
        <v>2760</v>
      </c>
      <c r="D70">
        <v>2700</v>
      </c>
      <c r="E70">
        <f t="shared" si="0"/>
        <v>2700</v>
      </c>
    </row>
    <row r="71" spans="1:5" ht="12.75">
      <c r="A71" s="2" t="str">
        <f>'NORTH FORK'!A65</f>
        <v>Percent Of Supply Not Allocated</v>
      </c>
      <c r="B71" s="15">
        <f>'T2'!J10</f>
        <v>0.808</v>
      </c>
      <c r="C71">
        <v>0.808</v>
      </c>
      <c r="D71">
        <v>0.808</v>
      </c>
      <c r="E71">
        <f>D71</f>
        <v>0.808</v>
      </c>
    </row>
    <row r="72" spans="1:5" ht="12.75">
      <c r="A72" s="2" t="str">
        <f>'NORTH FORK'!A66</f>
        <v>Quantity Of Unallocated Supply</v>
      </c>
      <c r="B72" s="4">
        <f>+B61-B65-B67-B69</f>
        <v>11760</v>
      </c>
      <c r="C72">
        <v>11640</v>
      </c>
      <c r="D72">
        <v>11350</v>
      </c>
      <c r="E72">
        <f>D72</f>
        <v>11350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G77"/>
  <sheetViews>
    <sheetView workbookViewId="0" topLeftCell="A1">
      <selection activeCell="A1" sqref="A1"/>
    </sheetView>
  </sheetViews>
  <sheetFormatPr defaultColWidth="9.140625" defaultRowHeight="12.75"/>
  <cols>
    <col min="1" max="1" width="69.28125" style="0" customWidth="1"/>
    <col min="2" max="2" width="8.00390625" style="50" customWidth="1"/>
  </cols>
  <sheetData>
    <row r="1" spans="1:7" ht="15.75">
      <c r="A1" s="59" t="s">
        <v>221</v>
      </c>
      <c r="B1" s="50">
        <f>INPUT!C1</f>
        <v>2005</v>
      </c>
      <c r="C1">
        <v>2003</v>
      </c>
      <c r="D1">
        <v>2004</v>
      </c>
      <c r="E1" s="309">
        <v>2005</v>
      </c>
      <c r="F1" s="309">
        <v>2006</v>
      </c>
      <c r="G1" s="309">
        <v>2007</v>
      </c>
    </row>
    <row r="2" ht="12.75"/>
    <row r="3" ht="15.75">
      <c r="A3" s="10" t="s">
        <v>174</v>
      </c>
    </row>
    <row r="4" ht="12.75">
      <c r="A4" s="8" t="s">
        <v>175</v>
      </c>
    </row>
    <row r="5" spans="1:5" ht="12.75">
      <c r="A5" s="52" t="str">
        <f>+INPUT!B54</f>
        <v>Imported Water Nebraska</v>
      </c>
      <c r="B5" s="52">
        <f>+INPUT!C54</f>
        <v>9633</v>
      </c>
      <c r="C5">
        <v>9423</v>
      </c>
      <c r="D5">
        <v>9522</v>
      </c>
      <c r="E5">
        <f>D5</f>
        <v>9522</v>
      </c>
    </row>
    <row r="6" spans="1:5" ht="12.75">
      <c r="A6" s="52" t="str">
        <f>+INPUT!B28</f>
        <v>GW CBCU Colorado</v>
      </c>
      <c r="B6" s="52">
        <f>+INPUT!C28</f>
        <v>0</v>
      </c>
      <c r="C6">
        <v>0</v>
      </c>
      <c r="D6">
        <v>0</v>
      </c>
      <c r="E6">
        <f>D6</f>
        <v>0</v>
      </c>
    </row>
    <row r="7" spans="1:5" ht="12.75">
      <c r="A7" s="52" t="str">
        <f>+INPUT!B29</f>
        <v>GW CBCU Kansas</v>
      </c>
      <c r="B7" s="52">
        <f>+INPUT!C29</f>
        <v>0</v>
      </c>
      <c r="C7">
        <v>0</v>
      </c>
      <c r="D7">
        <v>0</v>
      </c>
      <c r="E7">
        <f aca="true" t="shared" si="0" ref="E7:E70">D7</f>
        <v>0</v>
      </c>
    </row>
    <row r="8" spans="1:5" ht="12" customHeight="1">
      <c r="A8" s="52" t="str">
        <f>+INPUT!B30</f>
        <v>GW CBCU Nebraska</v>
      </c>
      <c r="B8" s="52">
        <f>+INPUT!C30</f>
        <v>20766</v>
      </c>
      <c r="C8">
        <v>21139</v>
      </c>
      <c r="D8">
        <v>21296</v>
      </c>
      <c r="E8">
        <f t="shared" si="0"/>
        <v>21296</v>
      </c>
    </row>
    <row r="9" spans="1:5" ht="12" customHeight="1">
      <c r="A9" s="9" t="s">
        <v>81</v>
      </c>
      <c r="B9" s="9"/>
      <c r="E9">
        <f t="shared" si="0"/>
        <v>0</v>
      </c>
    </row>
    <row r="10" spans="1:5" ht="12.75">
      <c r="A10" s="5" t="s">
        <v>177</v>
      </c>
      <c r="B10" s="2"/>
      <c r="E10">
        <f t="shared" si="0"/>
        <v>0</v>
      </c>
    </row>
    <row r="11" spans="1:5" ht="12.75">
      <c r="A11" s="52" t="str">
        <f>+INPUT!B191</f>
        <v>Medicine Creek Below Harry Strunk</v>
      </c>
      <c r="B11" s="52">
        <f>+INPUT!C191</f>
        <v>19992</v>
      </c>
      <c r="C11">
        <v>19850</v>
      </c>
      <c r="D11">
        <v>23300</v>
      </c>
      <c r="E11">
        <f t="shared" si="0"/>
        <v>23300</v>
      </c>
    </row>
    <row r="12" spans="1:5" ht="12.75">
      <c r="A12" s="52" t="str">
        <f>+INPUT!B220</f>
        <v>Harry Strunk Lake Evaporation</v>
      </c>
      <c r="B12" s="52">
        <f>+INPUT!C220</f>
        <v>2771.705791666667</v>
      </c>
      <c r="C12">
        <v>3755</v>
      </c>
      <c r="D12">
        <v>2058.9</v>
      </c>
      <c r="E12">
        <f t="shared" si="0"/>
        <v>2058.9</v>
      </c>
    </row>
    <row r="13" spans="1:5" ht="12.75">
      <c r="A13" s="52" t="str">
        <f>+INPUT!B221</f>
        <v>Harry Strunk Lake Change In Storage</v>
      </c>
      <c r="B13" s="52">
        <f>+INPUT!C221</f>
        <v>5600</v>
      </c>
      <c r="C13">
        <v>3385</v>
      </c>
      <c r="D13">
        <v>-300</v>
      </c>
      <c r="E13">
        <f t="shared" si="0"/>
        <v>-300</v>
      </c>
    </row>
    <row r="14" spans="1:5" ht="12.75">
      <c r="A14" s="107" t="str">
        <f>+INPUT!B104</f>
        <v>SW Diversions - Irrigation - Non-Federal Canals - Nebraska</v>
      </c>
      <c r="B14" s="107">
        <f>+INPUT!C104</f>
        <v>0</v>
      </c>
      <c r="C14">
        <v>0</v>
      </c>
      <c r="D14">
        <v>0</v>
      </c>
      <c r="E14">
        <f t="shared" si="0"/>
        <v>0</v>
      </c>
    </row>
    <row r="15" spans="1:5" ht="12.75">
      <c r="A15" s="107" t="str">
        <f>+INPUT!B105</f>
        <v>SW Diversions - Irrigation - Small Pumps - Nebraska</v>
      </c>
      <c r="B15" s="107">
        <f>+INPUT!C105</f>
        <v>258.8</v>
      </c>
      <c r="C15">
        <v>291</v>
      </c>
      <c r="D15">
        <v>255</v>
      </c>
      <c r="E15">
        <f t="shared" si="0"/>
        <v>255</v>
      </c>
    </row>
    <row r="16" spans="1:5" ht="12.75">
      <c r="A16" s="107" t="str">
        <f>+INPUT!B106</f>
        <v>SW Diversions - M&amp;I - Nebraska</v>
      </c>
      <c r="B16" s="107">
        <f>+INPUT!C106</f>
        <v>0</v>
      </c>
      <c r="C16">
        <v>0</v>
      </c>
      <c r="D16">
        <v>0</v>
      </c>
      <c r="E16">
        <f t="shared" si="0"/>
        <v>0</v>
      </c>
    </row>
    <row r="17" spans="1:5" ht="12.75">
      <c r="A17" s="107" t="str">
        <f>+INPUT!B107</f>
        <v>SW Diversions - Irrigation - Non-Federal Canals - Nebraska -Below Gage</v>
      </c>
      <c r="B17" s="107">
        <f>+INPUT!C107</f>
        <v>0</v>
      </c>
      <c r="C17">
        <v>0</v>
      </c>
      <c r="D17">
        <v>0</v>
      </c>
      <c r="E17">
        <f t="shared" si="0"/>
        <v>0</v>
      </c>
    </row>
    <row r="18" spans="1:5" ht="12.75">
      <c r="A18" s="107" t="str">
        <f>+INPUT!B108</f>
        <v>SW Diversions - Irrigation - Small Pumps -Nebraska - Below Gage</v>
      </c>
      <c r="B18" s="107">
        <f>+INPUT!C108</f>
        <v>77.6</v>
      </c>
      <c r="C18">
        <v>106</v>
      </c>
      <c r="D18">
        <v>57.5</v>
      </c>
      <c r="E18">
        <f t="shared" si="0"/>
        <v>57.5</v>
      </c>
    </row>
    <row r="19" spans="1:5" ht="12.75">
      <c r="A19" s="107" t="str">
        <f>+INPUT!B109</f>
        <v>SW Diversions - M&amp;I - Nebraska - Below Gage</v>
      </c>
      <c r="B19" s="107">
        <f>+INPUT!C109</f>
        <v>0</v>
      </c>
      <c r="C19">
        <v>0</v>
      </c>
      <c r="D19">
        <v>0</v>
      </c>
      <c r="E19">
        <f t="shared" si="0"/>
        <v>0</v>
      </c>
    </row>
    <row r="20" spans="1:5" ht="12.75">
      <c r="A20" s="107" t="str">
        <f>+INPUT!B167</f>
        <v>Non-Federal Reservoir Evaporation - Nebraska</v>
      </c>
      <c r="B20" s="107">
        <f>+INPUT!C167</f>
        <v>292.3</v>
      </c>
      <c r="C20">
        <v>0</v>
      </c>
      <c r="D20">
        <v>233.2</v>
      </c>
      <c r="E20">
        <f t="shared" si="0"/>
        <v>233.2</v>
      </c>
    </row>
    <row r="21" spans="1:5" ht="12.75">
      <c r="A21" s="107" t="str">
        <f>+INPUT!B168</f>
        <v>Non-Federal Reservoir Evaporation - Nebraska - Below Gage</v>
      </c>
      <c r="B21" s="107">
        <f>+INPUT!C168</f>
        <v>7.2</v>
      </c>
      <c r="C21">
        <v>0</v>
      </c>
      <c r="D21">
        <v>3.6</v>
      </c>
      <c r="E21">
        <f t="shared" si="0"/>
        <v>3.6</v>
      </c>
    </row>
    <row r="22" spans="1:5" ht="12.75">
      <c r="A22" s="107" t="str">
        <f>+INPUT!B207</f>
        <v>Medicine Creek Flood Flow</v>
      </c>
      <c r="B22" s="107">
        <f>+INPUT!C207</f>
        <v>0</v>
      </c>
      <c r="C22">
        <v>0</v>
      </c>
      <c r="D22">
        <v>0</v>
      </c>
      <c r="E22">
        <f t="shared" si="0"/>
        <v>0</v>
      </c>
    </row>
    <row r="23" spans="1:5" ht="12.75">
      <c r="A23" s="122" t="s">
        <v>81</v>
      </c>
      <c r="B23" s="16"/>
      <c r="E23">
        <f t="shared" si="0"/>
        <v>0</v>
      </c>
    </row>
    <row r="24" spans="1:5" ht="15.75">
      <c r="A24" s="10" t="s">
        <v>258</v>
      </c>
      <c r="B24" s="16"/>
      <c r="E24">
        <f t="shared" si="0"/>
        <v>0</v>
      </c>
    </row>
    <row r="25" spans="1:5" ht="12.75">
      <c r="A25" s="8" t="s">
        <v>0</v>
      </c>
      <c r="B25" s="16"/>
      <c r="E25">
        <f t="shared" si="0"/>
        <v>0</v>
      </c>
    </row>
    <row r="26" spans="1:5" ht="12.75">
      <c r="A26" s="16" t="str">
        <f>'NORTH FORK'!A38</f>
        <v>GW CBCU</v>
      </c>
      <c r="B26" s="16">
        <f>+B6</f>
        <v>0</v>
      </c>
      <c r="C26">
        <v>0</v>
      </c>
      <c r="D26">
        <v>0</v>
      </c>
      <c r="E26">
        <f t="shared" si="0"/>
        <v>0</v>
      </c>
    </row>
    <row r="27" spans="1:5" ht="12.75">
      <c r="A27" s="16" t="str">
        <f>'NORTH FORK'!A39</f>
        <v>Total CBCU</v>
      </c>
      <c r="B27" s="73">
        <f>(ROUND(SUM(B26:B26),-1))</f>
        <v>0</v>
      </c>
      <c r="C27">
        <v>0</v>
      </c>
      <c r="D27">
        <v>0</v>
      </c>
      <c r="E27">
        <f t="shared" si="0"/>
        <v>0</v>
      </c>
    </row>
    <row r="28" spans="1:5" ht="12.75">
      <c r="A28" s="16" t="s">
        <v>81</v>
      </c>
      <c r="B28" s="16"/>
      <c r="E28">
        <f t="shared" si="0"/>
        <v>0</v>
      </c>
    </row>
    <row r="29" spans="1:5" ht="12.75">
      <c r="A29" s="8" t="s">
        <v>178</v>
      </c>
      <c r="B29" s="16"/>
      <c r="E29">
        <f t="shared" si="0"/>
        <v>0</v>
      </c>
    </row>
    <row r="30" spans="1:5" ht="12.75">
      <c r="A30" s="16" t="str">
        <f>'NORTH FORK'!A38</f>
        <v>GW CBCU</v>
      </c>
      <c r="B30" s="16">
        <f>+B7</f>
        <v>0</v>
      </c>
      <c r="C30">
        <v>0</v>
      </c>
      <c r="D30">
        <v>0</v>
      </c>
      <c r="E30">
        <f t="shared" si="0"/>
        <v>0</v>
      </c>
    </row>
    <row r="31" spans="1:5" ht="12.75">
      <c r="A31" s="16" t="str">
        <f>'NORTH FORK'!A39</f>
        <v>Total CBCU</v>
      </c>
      <c r="B31" s="73">
        <f>(ROUND(SUM(B30:B30),-1))</f>
        <v>0</v>
      </c>
      <c r="C31">
        <v>0</v>
      </c>
      <c r="D31">
        <v>0</v>
      </c>
      <c r="E31">
        <f t="shared" si="0"/>
        <v>0</v>
      </c>
    </row>
    <row r="32" spans="1:5" ht="12.75">
      <c r="A32" s="16" t="s">
        <v>81</v>
      </c>
      <c r="B32" s="16"/>
      <c r="E32">
        <f t="shared" si="0"/>
        <v>0</v>
      </c>
    </row>
    <row r="33" spans="1:5" ht="12.75">
      <c r="A33" s="8" t="s">
        <v>1</v>
      </c>
      <c r="B33" s="16"/>
      <c r="E33">
        <f t="shared" si="0"/>
        <v>0</v>
      </c>
    </row>
    <row r="34" spans="1:5" ht="12.75">
      <c r="A34" s="16" t="str">
        <f>'NORTH FORK'!A23</f>
        <v>SW CBCU - Irrigation - Non Federal Canals</v>
      </c>
      <c r="B34" s="73">
        <f>B14*CanalCUPercent</f>
        <v>0</v>
      </c>
      <c r="C34">
        <v>0</v>
      </c>
      <c r="D34">
        <v>0</v>
      </c>
      <c r="E34">
        <f t="shared" si="0"/>
        <v>0</v>
      </c>
    </row>
    <row r="35" spans="1:5" ht="12.75">
      <c r="A35" s="16" t="str">
        <f>'NORTH FORK'!A24</f>
        <v>SW CBCU - Irrigation - Small Pumps</v>
      </c>
      <c r="B35" s="73">
        <f>B15*PumperCUPercent</f>
        <v>194.10000000000002</v>
      </c>
      <c r="C35">
        <v>218.25</v>
      </c>
      <c r="D35">
        <v>191.25</v>
      </c>
      <c r="E35">
        <f t="shared" si="0"/>
        <v>191.25</v>
      </c>
    </row>
    <row r="36" spans="1:5" ht="12.75">
      <c r="A36" s="16" t="str">
        <f>'NORTH FORK'!A25</f>
        <v>SW CBCU - M&amp;I</v>
      </c>
      <c r="B36" s="16">
        <f>B16*MI_CUPercent</f>
        <v>0</v>
      </c>
      <c r="C36">
        <v>0</v>
      </c>
      <c r="D36">
        <v>0</v>
      </c>
      <c r="E36">
        <f t="shared" si="0"/>
        <v>0</v>
      </c>
    </row>
    <row r="37" spans="1:5" ht="12.75">
      <c r="A37" s="16" t="str">
        <f>'NORTH FORK'!A23&amp;" "&amp;"-"&amp;" "&amp;"Below Gage"</f>
        <v>SW CBCU - Irrigation - Non Federal Canals - Below Gage</v>
      </c>
      <c r="B37" s="73">
        <f>+B17*CanalCUPercent</f>
        <v>0</v>
      </c>
      <c r="C37">
        <v>0</v>
      </c>
      <c r="D37">
        <v>0</v>
      </c>
      <c r="E37">
        <f t="shared" si="0"/>
        <v>0</v>
      </c>
    </row>
    <row r="38" spans="1:5" ht="12.75">
      <c r="A38" s="16" t="str">
        <f>'NORTH FORK'!A24&amp;" "&amp;"-"&amp;" "&amp;"Below Gage"</f>
        <v>SW CBCU - Irrigation - Small Pumps - Below Gage</v>
      </c>
      <c r="B38" s="73">
        <f>+B18*PumperCUPercent</f>
        <v>58.199999999999996</v>
      </c>
      <c r="C38">
        <v>79.5</v>
      </c>
      <c r="D38">
        <v>43.125</v>
      </c>
      <c r="E38">
        <f t="shared" si="0"/>
        <v>43.125</v>
      </c>
    </row>
    <row r="39" spans="1:5" ht="12.75">
      <c r="A39" s="16" t="str">
        <f>'NORTH FORK'!A25&amp;" "&amp;"-"&amp;" "&amp;"Below Gage"</f>
        <v>SW CBCU - M&amp;I - Below Gage</v>
      </c>
      <c r="B39" s="73">
        <f>+B19*MI_CUPercent</f>
        <v>0</v>
      </c>
      <c r="C39">
        <v>0</v>
      </c>
      <c r="D39">
        <v>0</v>
      </c>
      <c r="E39">
        <f t="shared" si="0"/>
        <v>0</v>
      </c>
    </row>
    <row r="40" spans="1:5" ht="12.75">
      <c r="A40" s="98" t="str">
        <f>'NORTH FORK'!A26</f>
        <v>Non-Federal Reservoir Evaporation</v>
      </c>
      <c r="B40" s="16">
        <f>B20</f>
        <v>292.3</v>
      </c>
      <c r="C40">
        <v>0</v>
      </c>
      <c r="D40">
        <v>233.2</v>
      </c>
      <c r="E40">
        <f t="shared" si="0"/>
        <v>233.2</v>
      </c>
    </row>
    <row r="41" spans="1:5" ht="12.75">
      <c r="A41" s="98" t="str">
        <f>'NORTH FORK'!A26&amp;" "&amp;"-"&amp;" "&amp;"Below gage"</f>
        <v>Non-Federal Reservoir Evaporation - Below gage</v>
      </c>
      <c r="B41" s="16">
        <f>B21</f>
        <v>7.2</v>
      </c>
      <c r="C41">
        <v>0</v>
      </c>
      <c r="D41">
        <v>3.6</v>
      </c>
      <c r="E41">
        <f t="shared" si="0"/>
        <v>3.6</v>
      </c>
    </row>
    <row r="42" spans="1:5" ht="12.75">
      <c r="A42" s="16" t="str">
        <f>'NORTH FORK'!A27</f>
        <v>SW CBCU</v>
      </c>
      <c r="B42" s="73">
        <f>B34+B35+B36+B37+B38+B39+B40+B41</f>
        <v>551.8000000000001</v>
      </c>
      <c r="C42">
        <v>297.75</v>
      </c>
      <c r="D42">
        <v>471.175</v>
      </c>
      <c r="E42">
        <f t="shared" si="0"/>
        <v>471.175</v>
      </c>
    </row>
    <row r="43" spans="1:5" ht="12.75">
      <c r="A43" s="16" t="str">
        <f>'NORTH FORK'!A28</f>
        <v>GW CBCU</v>
      </c>
      <c r="B43" s="16">
        <f>+B8</f>
        <v>20766</v>
      </c>
      <c r="C43">
        <v>21139</v>
      </c>
      <c r="D43">
        <v>21296</v>
      </c>
      <c r="E43">
        <f t="shared" si="0"/>
        <v>21296</v>
      </c>
    </row>
    <row r="44" spans="1:5" ht="12.75">
      <c r="A44" s="16" t="str">
        <f>'NORTH FORK'!A29</f>
        <v>Total CBCU</v>
      </c>
      <c r="B44" s="73">
        <f>(ROUND(SUM(B42:B43),-1))</f>
        <v>21320</v>
      </c>
      <c r="C44">
        <v>21440</v>
      </c>
      <c r="D44">
        <v>21770</v>
      </c>
      <c r="E44">
        <f t="shared" si="0"/>
        <v>21770</v>
      </c>
    </row>
    <row r="45" spans="1:5" ht="12.75">
      <c r="A45" s="16" t="s">
        <v>81</v>
      </c>
      <c r="B45" s="16"/>
      <c r="E45">
        <f t="shared" si="0"/>
        <v>0</v>
      </c>
    </row>
    <row r="46" spans="1:5" ht="12.75">
      <c r="A46" s="5" t="s">
        <v>179</v>
      </c>
      <c r="B46" s="16"/>
      <c r="E46">
        <f t="shared" si="0"/>
        <v>0</v>
      </c>
    </row>
    <row r="47" spans="1:5" ht="12.75">
      <c r="A47" s="98" t="str">
        <f>'NORTH FORK'!A42</f>
        <v>Total SW CBCU</v>
      </c>
      <c r="B47" s="73">
        <f>+B42</f>
        <v>551.8000000000001</v>
      </c>
      <c r="C47">
        <v>297.75</v>
      </c>
      <c r="D47">
        <v>471.175</v>
      </c>
      <c r="E47">
        <f t="shared" si="0"/>
        <v>471.175</v>
      </c>
    </row>
    <row r="48" spans="1:5" ht="12.75">
      <c r="A48" s="98" t="str">
        <f>'NORTH FORK'!A43</f>
        <v>Total GW CBCU</v>
      </c>
      <c r="B48" s="73">
        <f>+B26+B30+B43</f>
        <v>20766</v>
      </c>
      <c r="C48">
        <v>21139</v>
      </c>
      <c r="D48">
        <v>21296</v>
      </c>
      <c r="E48">
        <f t="shared" si="0"/>
        <v>21296</v>
      </c>
    </row>
    <row r="49" spans="1:5" ht="12.75">
      <c r="A49" s="98" t="str">
        <f>'NORTH FORK'!A44</f>
        <v>Total Basin CBCU</v>
      </c>
      <c r="B49" s="98">
        <f>(ROUND(SUM(B47:B48),-1))</f>
        <v>21320</v>
      </c>
      <c r="C49">
        <v>21440</v>
      </c>
      <c r="D49">
        <v>21770</v>
      </c>
      <c r="E49">
        <f t="shared" si="0"/>
        <v>21770</v>
      </c>
    </row>
    <row r="50" spans="1:5" ht="12.75">
      <c r="A50" s="98" t="s">
        <v>81</v>
      </c>
      <c r="B50" s="16"/>
      <c r="E50">
        <f t="shared" si="0"/>
        <v>0</v>
      </c>
    </row>
    <row r="51" spans="1:5" ht="12.75">
      <c r="A51" s="5" t="s">
        <v>358</v>
      </c>
      <c r="B51" s="16"/>
      <c r="E51">
        <f t="shared" si="0"/>
        <v>0</v>
      </c>
    </row>
    <row r="52" spans="1:5" ht="12.75">
      <c r="A52" s="16" t="s">
        <v>244</v>
      </c>
      <c r="B52" s="73">
        <f>B37+B38+B39+B41</f>
        <v>65.39999999999999</v>
      </c>
      <c r="C52">
        <v>79.5</v>
      </c>
      <c r="D52">
        <v>46.725</v>
      </c>
      <c r="E52">
        <f t="shared" si="0"/>
        <v>46.725</v>
      </c>
    </row>
    <row r="53" spans="1:5" ht="12.75">
      <c r="A53" s="16" t="s">
        <v>4</v>
      </c>
      <c r="B53" s="73">
        <f>B52</f>
        <v>65.39999999999999</v>
      </c>
      <c r="C53">
        <v>79.5</v>
      </c>
      <c r="D53">
        <v>46.725</v>
      </c>
      <c r="E53">
        <f t="shared" si="0"/>
        <v>46.725</v>
      </c>
    </row>
    <row r="54" spans="1:5" ht="12.75">
      <c r="A54" s="16" t="s">
        <v>81</v>
      </c>
      <c r="B54" s="16"/>
      <c r="E54">
        <f t="shared" si="0"/>
        <v>0</v>
      </c>
    </row>
    <row r="55" spans="1:5" ht="15.75">
      <c r="A55" s="11" t="s">
        <v>10</v>
      </c>
      <c r="B55" s="16"/>
      <c r="E55">
        <f t="shared" si="0"/>
        <v>0</v>
      </c>
    </row>
    <row r="56" spans="1:5" ht="12.75">
      <c r="A56" s="73" t="str">
        <f>A11</f>
        <v>Medicine Creek Below Harry Strunk</v>
      </c>
      <c r="B56" s="73">
        <f>B11</f>
        <v>19992</v>
      </c>
      <c r="C56">
        <v>19850</v>
      </c>
      <c r="D56">
        <v>23300</v>
      </c>
      <c r="E56">
        <f t="shared" si="0"/>
        <v>23300</v>
      </c>
    </row>
    <row r="57" spans="1:5" ht="12.75">
      <c r="A57" s="16" t="str">
        <f>'NORTH FORK'!A49</f>
        <v>Colorado CBCU</v>
      </c>
      <c r="B57" s="73">
        <f>+B27</f>
        <v>0</v>
      </c>
      <c r="C57">
        <v>0</v>
      </c>
      <c r="D57">
        <v>0</v>
      </c>
      <c r="E57">
        <f t="shared" si="0"/>
        <v>0</v>
      </c>
    </row>
    <row r="58" spans="1:5" ht="12.75">
      <c r="A58" s="16" t="str">
        <f>'NORTH FORK'!A50</f>
        <v>Kansas CBCU</v>
      </c>
      <c r="B58" s="73">
        <f>+B31</f>
        <v>0</v>
      </c>
      <c r="C58">
        <v>0</v>
      </c>
      <c r="D58">
        <v>0</v>
      </c>
      <c r="E58">
        <f t="shared" si="0"/>
        <v>0</v>
      </c>
    </row>
    <row r="59" spans="1:5" ht="12.75">
      <c r="A59" s="16" t="str">
        <f>'NORTH FORK'!A51</f>
        <v>Nebraska CBCU</v>
      </c>
      <c r="B59" s="73">
        <f>B44</f>
        <v>21320</v>
      </c>
      <c r="C59">
        <v>21440</v>
      </c>
      <c r="D59">
        <v>21770</v>
      </c>
      <c r="E59">
        <f t="shared" si="0"/>
        <v>21770</v>
      </c>
    </row>
    <row r="60" spans="1:5" ht="12.75">
      <c r="A60" s="16" t="s">
        <v>244</v>
      </c>
      <c r="B60" s="73">
        <f>B53</f>
        <v>65.39999999999999</v>
      </c>
      <c r="C60">
        <v>79.5</v>
      </c>
      <c r="D60">
        <v>46.725</v>
      </c>
      <c r="E60">
        <f t="shared" si="0"/>
        <v>46.725</v>
      </c>
    </row>
    <row r="61" spans="1:5" ht="12.75">
      <c r="A61" s="16" t="str">
        <f>A13</f>
        <v>Harry Strunk Lake Change In Storage</v>
      </c>
      <c r="B61" s="16">
        <f>+B13</f>
        <v>5600</v>
      </c>
      <c r="C61">
        <v>3385</v>
      </c>
      <c r="D61">
        <v>-300</v>
      </c>
      <c r="E61">
        <f t="shared" si="0"/>
        <v>-300</v>
      </c>
    </row>
    <row r="62" spans="1:5" ht="12.75">
      <c r="A62" s="16" t="str">
        <f>A12</f>
        <v>Harry Strunk Lake Evaporation</v>
      </c>
      <c r="B62" s="16">
        <f>+B12</f>
        <v>2771.705791666667</v>
      </c>
      <c r="C62">
        <v>3755</v>
      </c>
      <c r="D62">
        <v>2058.9</v>
      </c>
      <c r="E62">
        <f t="shared" si="0"/>
        <v>2058.9</v>
      </c>
    </row>
    <row r="63" spans="1:5" ht="12.75">
      <c r="A63" s="16" t="str">
        <f>'NORTH FORK'!A52</f>
        <v>Imported Water</v>
      </c>
      <c r="B63" s="16">
        <f>B5</f>
        <v>9633</v>
      </c>
      <c r="C63">
        <v>9423</v>
      </c>
      <c r="D63">
        <v>9522</v>
      </c>
      <c r="E63">
        <f t="shared" si="0"/>
        <v>9522</v>
      </c>
    </row>
    <row r="64" spans="1:5" ht="12.75">
      <c r="A64" s="16" t="str">
        <f>'NORTH FORK'!A53</f>
        <v>Virgin Water Supply</v>
      </c>
      <c r="B64" s="73">
        <f>ROUND(B56+B57+B58+B59-B60+B61+B62-B63,-1)</f>
        <v>39990</v>
      </c>
      <c r="C64">
        <v>38930</v>
      </c>
      <c r="D64">
        <v>37260</v>
      </c>
      <c r="E64">
        <f t="shared" si="0"/>
        <v>37260</v>
      </c>
    </row>
    <row r="65" spans="1:5" ht="12.75">
      <c r="A65" s="16" t="str">
        <f>'NORTH FORK'!A54</f>
        <v>Adjustment For Flood Flows</v>
      </c>
      <c r="B65" s="16">
        <f>B22</f>
        <v>0</v>
      </c>
      <c r="C65">
        <v>0</v>
      </c>
      <c r="D65">
        <v>0</v>
      </c>
      <c r="E65">
        <f t="shared" si="0"/>
        <v>0</v>
      </c>
    </row>
    <row r="66" spans="1:5" ht="12.75">
      <c r="A66" s="16" t="str">
        <f>'NORTH FORK'!A55</f>
        <v>Computed Water Supply</v>
      </c>
      <c r="B66" s="73">
        <f>+ROUND(B64-B65-B61,-1)</f>
        <v>34390</v>
      </c>
      <c r="C66">
        <v>35550</v>
      </c>
      <c r="D66">
        <v>37560</v>
      </c>
      <c r="E66">
        <f t="shared" si="0"/>
        <v>37560</v>
      </c>
    </row>
    <row r="67" spans="1:5" ht="12.75">
      <c r="A67" s="98" t="s">
        <v>81</v>
      </c>
      <c r="B67" s="16"/>
      <c r="E67">
        <f t="shared" si="0"/>
        <v>0</v>
      </c>
    </row>
    <row r="68" spans="1:5" ht="15.75">
      <c r="A68" s="11" t="s">
        <v>12</v>
      </c>
      <c r="B68" s="13"/>
      <c r="E68">
        <f t="shared" si="0"/>
        <v>0</v>
      </c>
    </row>
    <row r="69" spans="1:5" ht="12.75">
      <c r="A69" s="16" t="str">
        <f>'NORTH FORK'!A58</f>
        <v>Colorado Percent Of Allocation</v>
      </c>
      <c r="B69" s="126">
        <f>'T2'!D11</f>
        <v>0</v>
      </c>
      <c r="C69">
        <v>0</v>
      </c>
      <c r="D69">
        <v>0</v>
      </c>
      <c r="E69">
        <f t="shared" si="0"/>
        <v>0</v>
      </c>
    </row>
    <row r="70" spans="1:5" ht="12.75">
      <c r="A70" s="16" t="str">
        <f>'NORTH FORK'!A59</f>
        <v>Colorado Allocation</v>
      </c>
      <c r="B70" s="73">
        <f>ROUND(+B66*B69,-1)</f>
        <v>0</v>
      </c>
      <c r="C70">
        <v>0</v>
      </c>
      <c r="D70">
        <v>0</v>
      </c>
      <c r="E70">
        <f t="shared" si="0"/>
        <v>0</v>
      </c>
    </row>
    <row r="71" spans="1:5" ht="12.75">
      <c r="A71" s="16" t="str">
        <f>'NORTH FORK'!A60</f>
        <v>Kansas Percent Of Allocation</v>
      </c>
      <c r="B71" s="126">
        <f>'T2'!F11</f>
        <v>0</v>
      </c>
      <c r="C71">
        <v>0</v>
      </c>
      <c r="D71">
        <v>0</v>
      </c>
      <c r="E71">
        <f aca="true" t="shared" si="1" ref="E71:E77">D71</f>
        <v>0</v>
      </c>
    </row>
    <row r="72" spans="1:5" ht="12.75">
      <c r="A72" s="16" t="str">
        <f>'NORTH FORK'!A61</f>
        <v>Kansas Allocation</v>
      </c>
      <c r="B72" s="73">
        <f>ROUND(B66*B71,-1)</f>
        <v>0</v>
      </c>
      <c r="C72">
        <v>0</v>
      </c>
      <c r="D72">
        <v>0</v>
      </c>
      <c r="E72">
        <f t="shared" si="1"/>
        <v>0</v>
      </c>
    </row>
    <row r="73" spans="1:5" ht="12.75">
      <c r="A73" s="16" t="str">
        <f>'NORTH FORK'!A62</f>
        <v>Nebraska Percent Of Allocation</v>
      </c>
      <c r="B73" s="126">
        <f>'T2'!H11</f>
        <v>0.091</v>
      </c>
      <c r="C73">
        <v>0.091</v>
      </c>
      <c r="D73">
        <v>0.091</v>
      </c>
      <c r="E73">
        <f t="shared" si="1"/>
        <v>0.091</v>
      </c>
    </row>
    <row r="74" spans="1:5" ht="12.75">
      <c r="A74" s="16" t="str">
        <f>'NORTH FORK'!A63</f>
        <v>Nebraska Allocation</v>
      </c>
      <c r="B74" s="73">
        <f>ROUND(B66*B73,-1)</f>
        <v>3130</v>
      </c>
      <c r="C74">
        <v>3240</v>
      </c>
      <c r="D74">
        <v>3420</v>
      </c>
      <c r="E74">
        <f t="shared" si="1"/>
        <v>3420</v>
      </c>
    </row>
    <row r="75" spans="1:5" ht="12.75">
      <c r="A75" s="16" t="str">
        <f>'NORTH FORK'!A64</f>
        <v>Total Basin Allocation</v>
      </c>
      <c r="B75" s="73">
        <f>+B70+B72+B74</f>
        <v>3130</v>
      </c>
      <c r="C75">
        <v>3240</v>
      </c>
      <c r="D75">
        <v>3420</v>
      </c>
      <c r="E75">
        <f t="shared" si="1"/>
        <v>3420</v>
      </c>
    </row>
    <row r="76" spans="1:5" ht="12.75">
      <c r="A76" s="16" t="str">
        <f>'NORTH FORK'!A65</f>
        <v>Percent Of Supply Not Allocated</v>
      </c>
      <c r="B76" s="126">
        <f>'T2'!J11</f>
        <v>0.909</v>
      </c>
      <c r="C76">
        <v>0.909</v>
      </c>
      <c r="D76">
        <v>0.909</v>
      </c>
      <c r="E76">
        <f t="shared" si="1"/>
        <v>0.909</v>
      </c>
    </row>
    <row r="77" spans="1:5" ht="12.75">
      <c r="A77" s="2" t="str">
        <f>'NORTH FORK'!A66</f>
        <v>Quantity Of Unallocated Supply</v>
      </c>
      <c r="B77" s="4">
        <f>+B66-B70-B72-B74</f>
        <v>31260</v>
      </c>
      <c r="C77">
        <v>32310</v>
      </c>
      <c r="D77">
        <v>34140</v>
      </c>
      <c r="E77">
        <f t="shared" si="1"/>
        <v>34140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G91"/>
  <sheetViews>
    <sheetView workbookViewId="0" topLeftCell="A1">
      <selection activeCell="A1" sqref="A1"/>
    </sheetView>
  </sheetViews>
  <sheetFormatPr defaultColWidth="9.140625" defaultRowHeight="12.75"/>
  <cols>
    <col min="1" max="1" width="69.421875" style="0" customWidth="1"/>
    <col min="2" max="2" width="9.57421875" style="0" customWidth="1"/>
  </cols>
  <sheetData>
    <row r="1" spans="1:7" ht="15.75">
      <c r="A1" s="59" t="s">
        <v>220</v>
      </c>
      <c r="B1">
        <f>INPUT!C1</f>
        <v>2005</v>
      </c>
      <c r="C1">
        <v>2003</v>
      </c>
      <c r="D1">
        <v>2004</v>
      </c>
      <c r="E1" s="309">
        <v>2005</v>
      </c>
      <c r="F1" s="309">
        <v>2006</v>
      </c>
      <c r="G1" s="309">
        <v>2007</v>
      </c>
    </row>
    <row r="2" ht="12.75"/>
    <row r="3" ht="15.75">
      <c r="A3" s="10" t="s">
        <v>174</v>
      </c>
    </row>
    <row r="4" ht="12.75">
      <c r="A4" s="8" t="s">
        <v>175</v>
      </c>
    </row>
    <row r="5" spans="1:5" ht="12.75">
      <c r="A5" s="52" t="str">
        <f>+INPUT!B55</f>
        <v>Imported Water Nebraska</v>
      </c>
      <c r="B5" s="52">
        <f>+INPUT!C55</f>
        <v>0</v>
      </c>
      <c r="C5">
        <v>0</v>
      </c>
      <c r="D5">
        <v>0</v>
      </c>
      <c r="E5">
        <f>D5</f>
        <v>0</v>
      </c>
    </row>
    <row r="6" spans="1:5" ht="12.75">
      <c r="A6" s="52" t="str">
        <f>+INPUT!B31</f>
        <v>GW CBCU Colorado</v>
      </c>
      <c r="B6" s="52">
        <f>+INPUT!C31</f>
        <v>0</v>
      </c>
      <c r="C6">
        <v>0</v>
      </c>
      <c r="D6">
        <v>0</v>
      </c>
      <c r="E6">
        <f>D6</f>
        <v>0</v>
      </c>
    </row>
    <row r="7" spans="1:5" ht="12.75">
      <c r="A7" s="52" t="str">
        <f>+INPUT!B32</f>
        <v>GW CBCU Kansas</v>
      </c>
      <c r="B7" s="52">
        <f>+INPUT!C32</f>
        <v>1519</v>
      </c>
      <c r="C7">
        <v>274</v>
      </c>
      <c r="D7">
        <v>205</v>
      </c>
      <c r="E7">
        <f aca="true" t="shared" si="0" ref="E7:E70">D7</f>
        <v>205</v>
      </c>
    </row>
    <row r="8" spans="1:5" ht="12" customHeight="1">
      <c r="A8" s="52" t="str">
        <f>+INPUT!B33</f>
        <v>GW CBCU Nebraska</v>
      </c>
      <c r="B8" s="52">
        <f>+INPUT!C33</f>
        <v>2684</v>
      </c>
      <c r="C8">
        <v>777</v>
      </c>
      <c r="D8">
        <v>1278</v>
      </c>
      <c r="E8">
        <f t="shared" si="0"/>
        <v>1278</v>
      </c>
    </row>
    <row r="9" spans="1:5" ht="12.75">
      <c r="A9" s="2" t="s">
        <v>81</v>
      </c>
      <c r="B9" s="2"/>
      <c r="E9">
        <f t="shared" si="0"/>
        <v>0</v>
      </c>
    </row>
    <row r="10" spans="1:5" ht="12.75">
      <c r="A10" s="5" t="s">
        <v>177</v>
      </c>
      <c r="B10" s="2"/>
      <c r="E10">
        <f t="shared" si="0"/>
        <v>0</v>
      </c>
    </row>
    <row r="11" spans="1:5" ht="12.75">
      <c r="A11" s="52" t="str">
        <f>+INPUT!B192</f>
        <v>Beaver Creek Near Beaver City</v>
      </c>
      <c r="B11" s="52">
        <f>+INPUT!C192</f>
        <v>173</v>
      </c>
      <c r="C11">
        <v>220</v>
      </c>
      <c r="D11">
        <v>163</v>
      </c>
      <c r="E11">
        <f t="shared" si="0"/>
        <v>163</v>
      </c>
    </row>
    <row r="12" spans="1:5" ht="12.75">
      <c r="A12" s="52" t="str">
        <f>+INPUT!B110</f>
        <v>SW Diversions - Irrigation -Non-Federal Canals- Colorado</v>
      </c>
      <c r="B12" s="52">
        <f>+INPUT!C110</f>
        <v>0</v>
      </c>
      <c r="C12">
        <v>0</v>
      </c>
      <c r="D12">
        <v>0</v>
      </c>
      <c r="E12">
        <f t="shared" si="0"/>
        <v>0</v>
      </c>
    </row>
    <row r="13" spans="1:5" ht="12.75">
      <c r="A13" s="107" t="str">
        <f>+INPUT!B111</f>
        <v>SW Diversions - Irrigation - Small Pumps - Colorado</v>
      </c>
      <c r="B13" s="107">
        <f>+INPUT!C111</f>
        <v>0</v>
      </c>
      <c r="C13">
        <v>0</v>
      </c>
      <c r="D13">
        <v>0</v>
      </c>
      <c r="E13">
        <f t="shared" si="0"/>
        <v>0</v>
      </c>
    </row>
    <row r="14" spans="1:5" ht="12.75">
      <c r="A14" s="107" t="str">
        <f>+INPUT!B112</f>
        <v>SW Diversions - M&amp;I - Colorado</v>
      </c>
      <c r="B14" s="107">
        <f>+INPUT!C112</f>
        <v>0</v>
      </c>
      <c r="C14">
        <v>0</v>
      </c>
      <c r="D14">
        <v>0</v>
      </c>
      <c r="E14">
        <f t="shared" si="0"/>
        <v>0</v>
      </c>
    </row>
    <row r="15" spans="1:5" ht="12.75">
      <c r="A15" s="107" t="str">
        <f>+INPUT!B113</f>
        <v>SW Diversions - Irrigation - Non-Federal Canals- Kansas</v>
      </c>
      <c r="B15" s="107">
        <f>+INPUT!C113</f>
        <v>0</v>
      </c>
      <c r="C15">
        <v>0</v>
      </c>
      <c r="D15">
        <v>0</v>
      </c>
      <c r="E15">
        <f t="shared" si="0"/>
        <v>0</v>
      </c>
    </row>
    <row r="16" spans="1:5" ht="12.75">
      <c r="A16" s="107" t="str">
        <f>+INPUT!B114</f>
        <v>SW Diversions - Irrigation - Small Pumps - Kansas</v>
      </c>
      <c r="B16" s="107">
        <f>+INPUT!C114</f>
        <v>12</v>
      </c>
      <c r="C16">
        <v>26</v>
      </c>
      <c r="D16">
        <v>22</v>
      </c>
      <c r="E16">
        <f t="shared" si="0"/>
        <v>22</v>
      </c>
    </row>
    <row r="17" spans="1:5" ht="12.75">
      <c r="A17" s="107" t="str">
        <f>+INPUT!B115</f>
        <v>SW Diversions - M&amp;I - Kansas</v>
      </c>
      <c r="B17" s="107">
        <f>+INPUT!C115</f>
        <v>0</v>
      </c>
      <c r="C17">
        <v>0</v>
      </c>
      <c r="D17">
        <v>0</v>
      </c>
      <c r="E17">
        <f t="shared" si="0"/>
        <v>0</v>
      </c>
    </row>
    <row r="18" spans="1:5" ht="12.75">
      <c r="A18" s="107" t="str">
        <f>+INPUT!B116</f>
        <v>SW Diversions - Irrigation - Non-Federal Canals - Nebraska</v>
      </c>
      <c r="B18" s="107">
        <f>+INPUT!C116</f>
        <v>0</v>
      </c>
      <c r="C18">
        <v>0</v>
      </c>
      <c r="D18">
        <v>0</v>
      </c>
      <c r="E18">
        <f t="shared" si="0"/>
        <v>0</v>
      </c>
    </row>
    <row r="19" spans="1:5" ht="12.75">
      <c r="A19" s="107" t="str">
        <f>+INPUT!B117</f>
        <v>SW Diversions - Irrigation - Small Pumps - Nebraska</v>
      </c>
      <c r="B19" s="107">
        <f>+INPUT!C117</f>
        <v>0</v>
      </c>
      <c r="C19">
        <v>0</v>
      </c>
      <c r="D19">
        <v>0</v>
      </c>
      <c r="E19">
        <f t="shared" si="0"/>
        <v>0</v>
      </c>
    </row>
    <row r="20" spans="1:5" ht="12.75">
      <c r="A20" s="107" t="str">
        <f>+INPUT!B118</f>
        <v>SW Diversions - M&amp;I - Nebraska</v>
      </c>
      <c r="B20" s="107">
        <f>+INPUT!C118</f>
        <v>0</v>
      </c>
      <c r="C20">
        <v>0</v>
      </c>
      <c r="D20">
        <v>0</v>
      </c>
      <c r="E20">
        <f t="shared" si="0"/>
        <v>0</v>
      </c>
    </row>
    <row r="21" spans="1:5" ht="12.75">
      <c r="A21" s="98" t="str">
        <f>INPUT!B119</f>
        <v>SW Diversions - Irrigation - Non-Federal Canals - Nebraska -Below Gage</v>
      </c>
      <c r="B21" s="98">
        <f>INPUT!C119</f>
        <v>0</v>
      </c>
      <c r="C21">
        <v>0</v>
      </c>
      <c r="D21">
        <v>0</v>
      </c>
      <c r="E21">
        <f t="shared" si="0"/>
        <v>0</v>
      </c>
    </row>
    <row r="22" spans="1:5" ht="12.75">
      <c r="A22" s="98" t="str">
        <f>INPUT!B120</f>
        <v>SW Diversions - Irrigation - Small Pumps -Nebraska - Below Gage</v>
      </c>
      <c r="B22" s="98">
        <f>INPUT!C120</f>
        <v>0</v>
      </c>
      <c r="C22">
        <v>0</v>
      </c>
      <c r="D22">
        <v>0</v>
      </c>
      <c r="E22">
        <f t="shared" si="0"/>
        <v>0</v>
      </c>
    </row>
    <row r="23" spans="1:5" ht="12.75">
      <c r="A23" s="98" t="str">
        <f>INPUT!B121</f>
        <v>SW Diversions - M&amp;I - Nebraska - Below Gage</v>
      </c>
      <c r="B23" s="98">
        <f>INPUT!C121</f>
        <v>0</v>
      </c>
      <c r="C23">
        <v>0</v>
      </c>
      <c r="D23">
        <v>0</v>
      </c>
      <c r="E23">
        <f t="shared" si="0"/>
        <v>0</v>
      </c>
    </row>
    <row r="24" spans="1:5" ht="12.75">
      <c r="A24" s="107" t="str">
        <f>+INPUT!B169</f>
        <v>Non-Federal Reservoir Evaporation - Colorado</v>
      </c>
      <c r="B24" s="107">
        <f>+INPUT!C169</f>
        <v>0</v>
      </c>
      <c r="C24">
        <v>0</v>
      </c>
      <c r="D24">
        <v>0</v>
      </c>
      <c r="E24">
        <f t="shared" si="0"/>
        <v>0</v>
      </c>
    </row>
    <row r="25" spans="1:5" ht="12.75">
      <c r="A25" s="107" t="str">
        <f>+INPUT!B170</f>
        <v>Non-Federal Reservoir Evaporation - Kansas</v>
      </c>
      <c r="B25" s="107">
        <f>+INPUT!C170</f>
        <v>134.7</v>
      </c>
      <c r="C25">
        <v>0</v>
      </c>
      <c r="D25">
        <v>134.7</v>
      </c>
      <c r="E25">
        <f t="shared" si="0"/>
        <v>134.7</v>
      </c>
    </row>
    <row r="26" spans="1:5" ht="12.75">
      <c r="A26" s="107" t="str">
        <f>+INPUT!B171</f>
        <v>Non-Federal Reservoir Evaporation - Nebraska</v>
      </c>
      <c r="B26" s="107">
        <f>+INPUT!C171</f>
        <v>50.7</v>
      </c>
      <c r="C26">
        <v>0</v>
      </c>
      <c r="D26">
        <v>23.4</v>
      </c>
      <c r="E26">
        <f t="shared" si="0"/>
        <v>23.4</v>
      </c>
    </row>
    <row r="27" spans="1:5" ht="12.75">
      <c r="A27" s="107" t="str">
        <f>+INPUT!B172</f>
        <v>Non-Federal Reservoir Evaporation - Nebraska - Below Gage</v>
      </c>
      <c r="B27" s="107">
        <f>+INPUT!C172</f>
        <v>0</v>
      </c>
      <c r="C27">
        <v>0</v>
      </c>
      <c r="D27">
        <v>0</v>
      </c>
      <c r="E27">
        <f t="shared" si="0"/>
        <v>0</v>
      </c>
    </row>
    <row r="28" spans="1:5" ht="12.75">
      <c r="A28" s="107" t="str">
        <f>+INPUT!B208</f>
        <v>Beaver Flood Flow</v>
      </c>
      <c r="B28" s="107">
        <f>+INPUT!C208</f>
        <v>0</v>
      </c>
      <c r="C28">
        <v>0</v>
      </c>
      <c r="D28">
        <v>0</v>
      </c>
      <c r="E28">
        <f t="shared" si="0"/>
        <v>0</v>
      </c>
    </row>
    <row r="29" spans="1:5" ht="12.75">
      <c r="A29" s="122" t="s">
        <v>81</v>
      </c>
      <c r="B29" s="16"/>
      <c r="E29">
        <f t="shared" si="0"/>
        <v>0</v>
      </c>
    </row>
    <row r="30" spans="1:5" ht="15.75">
      <c r="A30" s="10" t="s">
        <v>258</v>
      </c>
      <c r="B30" s="16"/>
      <c r="E30">
        <f t="shared" si="0"/>
        <v>0</v>
      </c>
    </row>
    <row r="31" spans="1:5" ht="12.75">
      <c r="A31" s="8" t="s">
        <v>0</v>
      </c>
      <c r="B31" s="16"/>
      <c r="E31">
        <f t="shared" si="0"/>
        <v>0</v>
      </c>
    </row>
    <row r="32" spans="1:5" ht="12.75">
      <c r="A32" s="16" t="str">
        <f>'NORTH FORK'!A23</f>
        <v>SW CBCU - Irrigation - Non Federal Canals</v>
      </c>
      <c r="B32" s="16">
        <f>+B12*CanalCUPercent</f>
        <v>0</v>
      </c>
      <c r="C32">
        <v>0</v>
      </c>
      <c r="D32">
        <v>0</v>
      </c>
      <c r="E32">
        <f t="shared" si="0"/>
        <v>0</v>
      </c>
    </row>
    <row r="33" spans="1:5" ht="12.75">
      <c r="A33" s="16" t="str">
        <f>'NORTH FORK'!A24</f>
        <v>SW CBCU - Irrigation - Small Pumps</v>
      </c>
      <c r="B33" s="16">
        <f>+B13*PumperCUPercent</f>
        <v>0</v>
      </c>
      <c r="C33">
        <v>0</v>
      </c>
      <c r="D33">
        <v>0</v>
      </c>
      <c r="E33">
        <f t="shared" si="0"/>
        <v>0</v>
      </c>
    </row>
    <row r="34" spans="1:5" ht="12.75">
      <c r="A34" s="16" t="str">
        <f>'NORTH FORK'!A25</f>
        <v>SW CBCU - M&amp;I</v>
      </c>
      <c r="B34" s="16">
        <f>+B14*MI_CUPercent</f>
        <v>0</v>
      </c>
      <c r="C34">
        <v>0</v>
      </c>
      <c r="D34">
        <v>0</v>
      </c>
      <c r="E34">
        <f t="shared" si="0"/>
        <v>0</v>
      </c>
    </row>
    <row r="35" spans="1:5" ht="12.75">
      <c r="A35" s="16" t="str">
        <f>'NORTH FORK'!A26</f>
        <v>Non-Federal Reservoir Evaporation</v>
      </c>
      <c r="B35" s="16">
        <f>+B24</f>
        <v>0</v>
      </c>
      <c r="C35">
        <v>0</v>
      </c>
      <c r="D35">
        <v>0</v>
      </c>
      <c r="E35">
        <f t="shared" si="0"/>
        <v>0</v>
      </c>
    </row>
    <row r="36" spans="1:5" ht="12.75">
      <c r="A36" s="16" t="str">
        <f>'NORTH FORK'!A27</f>
        <v>SW CBCU</v>
      </c>
      <c r="B36" s="73">
        <f>B32+B33+B34+B35</f>
        <v>0</v>
      </c>
      <c r="C36">
        <v>0</v>
      </c>
      <c r="D36">
        <v>0</v>
      </c>
      <c r="E36">
        <f t="shared" si="0"/>
        <v>0</v>
      </c>
    </row>
    <row r="37" spans="1:5" ht="12.75">
      <c r="A37" s="16" t="str">
        <f>'NORTH FORK'!A28</f>
        <v>GW CBCU</v>
      </c>
      <c r="B37" s="16">
        <f>+B6</f>
        <v>0</v>
      </c>
      <c r="C37">
        <v>0</v>
      </c>
      <c r="D37">
        <v>0</v>
      </c>
      <c r="E37">
        <f t="shared" si="0"/>
        <v>0</v>
      </c>
    </row>
    <row r="38" spans="1:5" ht="12.75">
      <c r="A38" s="16" t="str">
        <f>'NORTH FORK'!A29</f>
        <v>Total CBCU</v>
      </c>
      <c r="B38" s="73">
        <f>(ROUND(SUM(B36:B37),-1))</f>
        <v>0</v>
      </c>
      <c r="C38">
        <v>0</v>
      </c>
      <c r="D38">
        <v>0</v>
      </c>
      <c r="E38">
        <f t="shared" si="0"/>
        <v>0</v>
      </c>
    </row>
    <row r="39" spans="1:5" ht="12.75">
      <c r="A39" s="16" t="s">
        <v>81</v>
      </c>
      <c r="B39" s="16"/>
      <c r="E39">
        <f t="shared" si="0"/>
        <v>0</v>
      </c>
    </row>
    <row r="40" spans="1:5" ht="12.75">
      <c r="A40" s="8" t="s">
        <v>178</v>
      </c>
      <c r="B40" s="16"/>
      <c r="E40">
        <f t="shared" si="0"/>
        <v>0</v>
      </c>
    </row>
    <row r="41" spans="1:5" ht="12.75">
      <c r="A41" s="12" t="str">
        <f>'NORTH FORK'!A23</f>
        <v>SW CBCU - Irrigation - Non Federal Canals</v>
      </c>
      <c r="B41" s="16">
        <f>B15*CanalCUPercent</f>
        <v>0</v>
      </c>
      <c r="C41">
        <v>0</v>
      </c>
      <c r="D41">
        <v>0</v>
      </c>
      <c r="E41">
        <f t="shared" si="0"/>
        <v>0</v>
      </c>
    </row>
    <row r="42" spans="1:5" ht="12.75">
      <c r="A42" s="12" t="str">
        <f>'NORTH FORK'!A24</f>
        <v>SW CBCU - Irrigation - Small Pumps</v>
      </c>
      <c r="B42" s="16">
        <f>+B16*PumperCUPercent</f>
        <v>9</v>
      </c>
      <c r="C42">
        <v>19.5</v>
      </c>
      <c r="D42">
        <v>16.5</v>
      </c>
      <c r="E42">
        <f t="shared" si="0"/>
        <v>16.5</v>
      </c>
    </row>
    <row r="43" spans="1:5" ht="12.75">
      <c r="A43" s="12" t="str">
        <f>'NORTH FORK'!A25</f>
        <v>SW CBCU - M&amp;I</v>
      </c>
      <c r="B43" s="16">
        <f>+B17*MI_CUPercent</f>
        <v>0</v>
      </c>
      <c r="C43">
        <v>0</v>
      </c>
      <c r="D43">
        <v>0</v>
      </c>
      <c r="E43">
        <f t="shared" si="0"/>
        <v>0</v>
      </c>
    </row>
    <row r="44" spans="1:5" ht="12.75">
      <c r="A44" s="16" t="str">
        <f>'NORTH FORK'!A26</f>
        <v>Non-Federal Reservoir Evaporation</v>
      </c>
      <c r="B44" s="16">
        <f>B25</f>
        <v>134.7</v>
      </c>
      <c r="C44">
        <v>0</v>
      </c>
      <c r="D44">
        <v>134.7</v>
      </c>
      <c r="E44">
        <f t="shared" si="0"/>
        <v>134.7</v>
      </c>
    </row>
    <row r="45" spans="1:5" ht="12.75">
      <c r="A45" s="16" t="str">
        <f>'NORTH FORK'!A27</f>
        <v>SW CBCU</v>
      </c>
      <c r="B45" s="73">
        <f>B41+B42+B43+B44</f>
        <v>143.7</v>
      </c>
      <c r="C45">
        <v>19.5</v>
      </c>
      <c r="D45">
        <v>151.2</v>
      </c>
      <c r="E45">
        <f t="shared" si="0"/>
        <v>151.2</v>
      </c>
    </row>
    <row r="46" spans="1:5" ht="12.75">
      <c r="A46" s="16" t="str">
        <f>'NORTH FORK'!A28</f>
        <v>GW CBCU</v>
      </c>
      <c r="B46" s="16">
        <f>+B7</f>
        <v>1519</v>
      </c>
      <c r="C46">
        <v>274</v>
      </c>
      <c r="D46">
        <v>205</v>
      </c>
      <c r="E46">
        <f t="shared" si="0"/>
        <v>205</v>
      </c>
    </row>
    <row r="47" spans="1:5" ht="12.75">
      <c r="A47" s="16" t="str">
        <f>'NORTH FORK'!A29</f>
        <v>Total CBCU</v>
      </c>
      <c r="B47" s="73">
        <f>(ROUND(SUM(B45:B46),-1))</f>
        <v>1660</v>
      </c>
      <c r="C47">
        <v>290</v>
      </c>
      <c r="D47">
        <v>360</v>
      </c>
      <c r="E47">
        <f t="shared" si="0"/>
        <v>360</v>
      </c>
    </row>
    <row r="48" spans="1:5" ht="12.75">
      <c r="A48" s="16" t="s">
        <v>81</v>
      </c>
      <c r="B48" s="16"/>
      <c r="E48">
        <f t="shared" si="0"/>
        <v>0</v>
      </c>
    </row>
    <row r="49" spans="1:5" ht="12.75">
      <c r="A49" s="8" t="s">
        <v>1</v>
      </c>
      <c r="B49" s="16"/>
      <c r="E49">
        <f t="shared" si="0"/>
        <v>0</v>
      </c>
    </row>
    <row r="50" spans="1:5" ht="12.75">
      <c r="A50" s="16" t="str">
        <f>'NORTH FORK'!A23</f>
        <v>SW CBCU - Irrigation - Non Federal Canals</v>
      </c>
      <c r="B50" s="73">
        <f>B18*CanalCUPercent</f>
        <v>0</v>
      </c>
      <c r="C50">
        <v>0</v>
      </c>
      <c r="D50">
        <v>0</v>
      </c>
      <c r="E50">
        <f t="shared" si="0"/>
        <v>0</v>
      </c>
    </row>
    <row r="51" spans="1:5" ht="12.75">
      <c r="A51" s="16" t="str">
        <f>'NORTH FORK'!A24</f>
        <v>SW CBCU - Irrigation - Small Pumps</v>
      </c>
      <c r="B51" s="73">
        <f>B19*PumperCUPercent</f>
        <v>0</v>
      </c>
      <c r="C51">
        <v>0</v>
      </c>
      <c r="D51">
        <v>0</v>
      </c>
      <c r="E51">
        <f t="shared" si="0"/>
        <v>0</v>
      </c>
    </row>
    <row r="52" spans="1:5" ht="12.75">
      <c r="A52" s="16" t="str">
        <f>'NORTH FORK'!A25</f>
        <v>SW CBCU - M&amp;I</v>
      </c>
      <c r="B52" s="16">
        <f>B20*MI_CUPercent</f>
        <v>0</v>
      </c>
      <c r="C52">
        <v>0</v>
      </c>
      <c r="D52">
        <v>0</v>
      </c>
      <c r="E52">
        <f t="shared" si="0"/>
        <v>0</v>
      </c>
    </row>
    <row r="53" spans="1:5" ht="12.75">
      <c r="A53" s="98" t="str">
        <f>'MEDICINE CREEK'!A37</f>
        <v>SW CBCU - Irrigation - Non Federal Canals - Below Gage</v>
      </c>
      <c r="B53" s="123">
        <f>B21*CanalCUPercent</f>
        <v>0</v>
      </c>
      <c r="C53">
        <v>0</v>
      </c>
      <c r="D53">
        <v>0</v>
      </c>
      <c r="E53">
        <f t="shared" si="0"/>
        <v>0</v>
      </c>
    </row>
    <row r="54" spans="1:5" ht="12.75">
      <c r="A54" s="98" t="str">
        <f>'MEDICINE CREEK'!A38</f>
        <v>SW CBCU - Irrigation - Small Pumps - Below Gage</v>
      </c>
      <c r="B54" s="123">
        <f>B22*PumperCUPercent</f>
        <v>0</v>
      </c>
      <c r="C54">
        <v>0</v>
      </c>
      <c r="D54">
        <v>0</v>
      </c>
      <c r="E54">
        <f t="shared" si="0"/>
        <v>0</v>
      </c>
    </row>
    <row r="55" spans="1:5" ht="12.75">
      <c r="A55" s="98" t="str">
        <f>'MEDICINE CREEK'!A39</f>
        <v>SW CBCU - M&amp;I - Below Gage</v>
      </c>
      <c r="B55" s="123">
        <f>B23*MI_CUPercent</f>
        <v>0</v>
      </c>
      <c r="C55">
        <v>0</v>
      </c>
      <c r="D55">
        <v>0</v>
      </c>
      <c r="E55">
        <f t="shared" si="0"/>
        <v>0</v>
      </c>
    </row>
    <row r="56" spans="1:5" ht="12.75">
      <c r="A56" s="16" t="str">
        <f>'NORTH FORK'!A26</f>
        <v>Non-Federal Reservoir Evaporation</v>
      </c>
      <c r="B56" s="16">
        <f>B26</f>
        <v>50.7</v>
      </c>
      <c r="C56">
        <v>0</v>
      </c>
      <c r="D56">
        <v>23.4</v>
      </c>
      <c r="E56">
        <f t="shared" si="0"/>
        <v>23.4</v>
      </c>
    </row>
    <row r="57" spans="1:5" ht="12.75">
      <c r="A57" s="16" t="str">
        <f>'MEDICINE CREEK'!A41</f>
        <v>Non-Federal Reservoir Evaporation - Below gage</v>
      </c>
      <c r="B57" s="16">
        <f>B27</f>
        <v>0</v>
      </c>
      <c r="C57">
        <v>0</v>
      </c>
      <c r="D57">
        <v>0</v>
      </c>
      <c r="E57">
        <f t="shared" si="0"/>
        <v>0</v>
      </c>
    </row>
    <row r="58" spans="1:5" ht="12.75">
      <c r="A58" s="16" t="str">
        <f>'NORTH FORK'!A27</f>
        <v>SW CBCU</v>
      </c>
      <c r="B58" s="73">
        <f>B50+B51+B52+B53+B54+B55+B56+B57</f>
        <v>50.7</v>
      </c>
      <c r="C58">
        <v>0</v>
      </c>
      <c r="D58">
        <v>23.4</v>
      </c>
      <c r="E58">
        <f t="shared" si="0"/>
        <v>23.4</v>
      </c>
    </row>
    <row r="59" spans="1:5" ht="12.75">
      <c r="A59" s="16" t="str">
        <f>'NORTH FORK'!A28</f>
        <v>GW CBCU</v>
      </c>
      <c r="B59" s="16">
        <f>+B8</f>
        <v>2684</v>
      </c>
      <c r="C59">
        <v>777</v>
      </c>
      <c r="D59">
        <v>1278</v>
      </c>
      <c r="E59">
        <f t="shared" si="0"/>
        <v>1278</v>
      </c>
    </row>
    <row r="60" spans="1:5" ht="12.75">
      <c r="A60" s="16" t="str">
        <f>'NORTH FORK'!A29</f>
        <v>Total CBCU</v>
      </c>
      <c r="B60" s="73">
        <f>(ROUND(SUM(B58:B59),-1))</f>
        <v>2730</v>
      </c>
      <c r="C60">
        <v>780</v>
      </c>
      <c r="D60">
        <v>1300</v>
      </c>
      <c r="E60">
        <f t="shared" si="0"/>
        <v>1300</v>
      </c>
    </row>
    <row r="61" spans="1:5" ht="12.75">
      <c r="A61" s="98" t="s">
        <v>81</v>
      </c>
      <c r="B61" s="16"/>
      <c r="E61">
        <f t="shared" si="0"/>
        <v>0</v>
      </c>
    </row>
    <row r="62" spans="1:5" ht="12.75">
      <c r="A62" s="49" t="s">
        <v>358</v>
      </c>
      <c r="B62" s="16"/>
      <c r="E62">
        <f t="shared" si="0"/>
        <v>0</v>
      </c>
    </row>
    <row r="63" spans="1:5" ht="12.75">
      <c r="A63" s="16" t="s">
        <v>244</v>
      </c>
      <c r="B63" s="73">
        <f>SUM(B53:B55)+B57</f>
        <v>0</v>
      </c>
      <c r="C63">
        <v>0</v>
      </c>
      <c r="D63">
        <v>0</v>
      </c>
      <c r="E63">
        <f t="shared" si="0"/>
        <v>0</v>
      </c>
    </row>
    <row r="64" spans="1:5" ht="12.75">
      <c r="A64" s="98" t="s">
        <v>359</v>
      </c>
      <c r="B64" s="73">
        <f>B63</f>
        <v>0</v>
      </c>
      <c r="C64">
        <v>0</v>
      </c>
      <c r="D64">
        <v>0</v>
      </c>
      <c r="E64">
        <f t="shared" si="0"/>
        <v>0</v>
      </c>
    </row>
    <row r="65" spans="1:5" ht="12.75">
      <c r="A65" s="98"/>
      <c r="B65" s="16"/>
      <c r="E65">
        <f t="shared" si="0"/>
        <v>0</v>
      </c>
    </row>
    <row r="66" spans="1:5" ht="12.75">
      <c r="A66" s="5" t="s">
        <v>179</v>
      </c>
      <c r="B66" s="16"/>
      <c r="E66">
        <f t="shared" si="0"/>
        <v>0</v>
      </c>
    </row>
    <row r="67" spans="1:5" ht="12.75">
      <c r="A67" s="98" t="str">
        <f>'NORTH FORK'!A42</f>
        <v>Total SW CBCU</v>
      </c>
      <c r="B67" s="73">
        <f>+B45+B58+B36</f>
        <v>194.39999999999998</v>
      </c>
      <c r="C67">
        <v>19.5</v>
      </c>
      <c r="D67">
        <v>174.6</v>
      </c>
      <c r="E67">
        <f t="shared" si="0"/>
        <v>174.6</v>
      </c>
    </row>
    <row r="68" spans="1:5" ht="12.75">
      <c r="A68" s="98" t="str">
        <f>'NORTH FORK'!A43</f>
        <v>Total GW CBCU</v>
      </c>
      <c r="B68" s="73">
        <f>+B37+B46+B59</f>
        <v>4203</v>
      </c>
      <c r="C68">
        <v>1051</v>
      </c>
      <c r="D68">
        <v>1483</v>
      </c>
      <c r="E68">
        <f t="shared" si="0"/>
        <v>1483</v>
      </c>
    </row>
    <row r="69" spans="1:5" ht="12.75">
      <c r="A69" s="98" t="str">
        <f>'NORTH FORK'!A44</f>
        <v>Total Basin CBCU</v>
      </c>
      <c r="B69" s="73">
        <f>(ROUND(SUM(B67:B68),-1))</f>
        <v>4400</v>
      </c>
      <c r="C69">
        <v>1070</v>
      </c>
      <c r="D69">
        <v>1660</v>
      </c>
      <c r="E69">
        <f t="shared" si="0"/>
        <v>1660</v>
      </c>
    </row>
    <row r="70" spans="1:5" ht="12.75">
      <c r="A70" s="98" t="s">
        <v>81</v>
      </c>
      <c r="B70" s="16"/>
      <c r="E70">
        <f t="shared" si="0"/>
        <v>0</v>
      </c>
    </row>
    <row r="71" spans="1:5" ht="15.75">
      <c r="A71" s="11" t="s">
        <v>10</v>
      </c>
      <c r="B71" s="16"/>
      <c r="E71">
        <f aca="true" t="shared" si="1" ref="E71:E91">D71</f>
        <v>0</v>
      </c>
    </row>
    <row r="72" spans="1:5" ht="12.75">
      <c r="A72" s="73" t="str">
        <f>A11</f>
        <v>Beaver Creek Near Beaver City</v>
      </c>
      <c r="B72" s="73">
        <f>B11</f>
        <v>173</v>
      </c>
      <c r="C72">
        <v>220</v>
      </c>
      <c r="D72">
        <v>163</v>
      </c>
      <c r="E72">
        <f t="shared" si="1"/>
        <v>163</v>
      </c>
    </row>
    <row r="73" spans="1:5" ht="12.75">
      <c r="A73" s="16" t="str">
        <f>'NORTH FORK'!A49</f>
        <v>Colorado CBCU</v>
      </c>
      <c r="B73" s="73">
        <f>+B38</f>
        <v>0</v>
      </c>
      <c r="C73">
        <v>0</v>
      </c>
      <c r="D73">
        <v>0</v>
      </c>
      <c r="E73">
        <f t="shared" si="1"/>
        <v>0</v>
      </c>
    </row>
    <row r="74" spans="1:5" ht="12.75">
      <c r="A74" s="16" t="str">
        <f>'NORTH FORK'!A50</f>
        <v>Kansas CBCU</v>
      </c>
      <c r="B74" s="73">
        <f>+B47</f>
        <v>1660</v>
      </c>
      <c r="C74">
        <v>290</v>
      </c>
      <c r="D74">
        <v>360</v>
      </c>
      <c r="E74">
        <f t="shared" si="1"/>
        <v>360</v>
      </c>
    </row>
    <row r="75" spans="1:5" ht="12.75">
      <c r="A75" s="16" t="str">
        <f>'NORTH FORK'!A51</f>
        <v>Nebraska CBCU</v>
      </c>
      <c r="B75" s="73">
        <f>+B60</f>
        <v>2730</v>
      </c>
      <c r="C75">
        <v>780</v>
      </c>
      <c r="D75">
        <v>1300</v>
      </c>
      <c r="E75">
        <f t="shared" si="1"/>
        <v>1300</v>
      </c>
    </row>
    <row r="76" spans="1:5" ht="12.75">
      <c r="A76" s="16" t="s">
        <v>244</v>
      </c>
      <c r="B76" s="73">
        <f>B63</f>
        <v>0</v>
      </c>
      <c r="C76">
        <v>0</v>
      </c>
      <c r="D76">
        <v>0</v>
      </c>
      <c r="E76">
        <f t="shared" si="1"/>
        <v>0</v>
      </c>
    </row>
    <row r="77" spans="1:5" ht="12.75">
      <c r="A77" s="16" t="str">
        <f>'NORTH FORK'!A52</f>
        <v>Imported Water</v>
      </c>
      <c r="B77" s="16">
        <f>B5</f>
        <v>0</v>
      </c>
      <c r="C77">
        <v>0</v>
      </c>
      <c r="D77">
        <v>0</v>
      </c>
      <c r="E77">
        <f t="shared" si="1"/>
        <v>0</v>
      </c>
    </row>
    <row r="78" spans="1:5" ht="12.75">
      <c r="A78" s="16" t="str">
        <f>'NORTH FORK'!A53</f>
        <v>Virgin Water Supply</v>
      </c>
      <c r="B78" s="73">
        <f>ROUND(SUM(B72:B75)-B77-B76,-1)</f>
        <v>4560</v>
      </c>
      <c r="C78">
        <v>1290</v>
      </c>
      <c r="D78">
        <v>1820</v>
      </c>
      <c r="E78">
        <f t="shared" si="1"/>
        <v>1820</v>
      </c>
    </row>
    <row r="79" spans="1:5" ht="12.75">
      <c r="A79" s="16" t="str">
        <f>'NORTH FORK'!A54</f>
        <v>Adjustment For Flood Flows</v>
      </c>
      <c r="B79" s="16">
        <f>B28</f>
        <v>0</v>
      </c>
      <c r="C79">
        <v>0</v>
      </c>
      <c r="D79">
        <v>0</v>
      </c>
      <c r="E79">
        <f t="shared" si="1"/>
        <v>0</v>
      </c>
    </row>
    <row r="80" spans="1:5" ht="12.75">
      <c r="A80" s="16" t="str">
        <f>'NORTH FORK'!A55</f>
        <v>Computed Water Supply</v>
      </c>
      <c r="B80" s="73">
        <f>+ROUND(B78-B79,-1)</f>
        <v>4560</v>
      </c>
      <c r="C80">
        <v>1290</v>
      </c>
      <c r="D80">
        <v>1820</v>
      </c>
      <c r="E80">
        <f t="shared" si="1"/>
        <v>1820</v>
      </c>
    </row>
    <row r="81" spans="1:5" ht="12.75">
      <c r="A81" s="98" t="s">
        <v>81</v>
      </c>
      <c r="B81" s="16"/>
      <c r="E81">
        <f t="shared" si="1"/>
        <v>0</v>
      </c>
    </row>
    <row r="82" spans="1:5" ht="15.75">
      <c r="A82" s="11" t="s">
        <v>12</v>
      </c>
      <c r="B82" s="13"/>
      <c r="E82">
        <f t="shared" si="1"/>
        <v>0</v>
      </c>
    </row>
    <row r="83" spans="1:5" ht="12.75">
      <c r="A83" s="16" t="str">
        <f>'NORTH FORK'!A58</f>
        <v>Colorado Percent Of Allocation</v>
      </c>
      <c r="B83" s="126">
        <f>'T2'!D12</f>
        <v>0.2</v>
      </c>
      <c r="C83">
        <v>0.2</v>
      </c>
      <c r="D83">
        <v>0.2</v>
      </c>
      <c r="E83">
        <f t="shared" si="1"/>
        <v>0.2</v>
      </c>
    </row>
    <row r="84" spans="1:5" ht="12.75">
      <c r="A84" s="16" t="str">
        <f>'NORTH FORK'!A59</f>
        <v>Colorado Allocation</v>
      </c>
      <c r="B84" s="73">
        <f>ROUND(+B80*B83,-1)</f>
        <v>910</v>
      </c>
      <c r="C84">
        <v>260</v>
      </c>
      <c r="D84">
        <v>360</v>
      </c>
      <c r="E84">
        <f t="shared" si="1"/>
        <v>360</v>
      </c>
    </row>
    <row r="85" spans="1:5" ht="12.75">
      <c r="A85" s="16" t="str">
        <f>'NORTH FORK'!A60</f>
        <v>Kansas Percent Of Allocation</v>
      </c>
      <c r="B85" s="126">
        <f>'T2'!F12</f>
        <v>0.388</v>
      </c>
      <c r="C85">
        <v>0.388</v>
      </c>
      <c r="D85">
        <v>0.388</v>
      </c>
      <c r="E85">
        <f t="shared" si="1"/>
        <v>0.388</v>
      </c>
    </row>
    <row r="86" spans="1:5" ht="12.75">
      <c r="A86" s="16" t="str">
        <f>'NORTH FORK'!A61</f>
        <v>Kansas Allocation</v>
      </c>
      <c r="B86" s="73">
        <f>ROUND(B80*B85,-1)</f>
        <v>1770</v>
      </c>
      <c r="C86">
        <v>500</v>
      </c>
      <c r="D86">
        <v>710</v>
      </c>
      <c r="E86">
        <f t="shared" si="1"/>
        <v>710</v>
      </c>
    </row>
    <row r="87" spans="1:5" ht="12.75">
      <c r="A87" s="16" t="str">
        <f>'NORTH FORK'!A62</f>
        <v>Nebraska Percent Of Allocation</v>
      </c>
      <c r="B87" s="126">
        <f>'T2'!H12</f>
        <v>0.406</v>
      </c>
      <c r="C87">
        <v>0.406</v>
      </c>
      <c r="D87">
        <v>0.406</v>
      </c>
      <c r="E87">
        <f t="shared" si="1"/>
        <v>0.406</v>
      </c>
    </row>
    <row r="88" spans="1:5" ht="12.75">
      <c r="A88" s="2" t="str">
        <f>'NORTH FORK'!A63</f>
        <v>Nebraska Allocation</v>
      </c>
      <c r="B88" s="4">
        <f>ROUND(B80*B87,-1)</f>
        <v>1850</v>
      </c>
      <c r="C88">
        <v>520</v>
      </c>
      <c r="D88">
        <v>740</v>
      </c>
      <c r="E88">
        <f t="shared" si="1"/>
        <v>740</v>
      </c>
    </row>
    <row r="89" spans="1:5" ht="12.75">
      <c r="A89" s="2" t="str">
        <f>'NORTH FORK'!A64</f>
        <v>Total Basin Allocation</v>
      </c>
      <c r="B89" s="4">
        <f>+B84+B86+B88</f>
        <v>4530</v>
      </c>
      <c r="C89">
        <v>1280</v>
      </c>
      <c r="D89">
        <v>1810</v>
      </c>
      <c r="E89">
        <f t="shared" si="1"/>
        <v>1810</v>
      </c>
    </row>
    <row r="90" spans="1:5" ht="12.75">
      <c r="A90" s="2" t="s">
        <v>187</v>
      </c>
      <c r="B90" s="15">
        <f>'T2'!J12</f>
        <v>0.006</v>
      </c>
      <c r="C90">
        <v>0.006</v>
      </c>
      <c r="D90">
        <v>0.006</v>
      </c>
      <c r="E90">
        <f t="shared" si="1"/>
        <v>0.006</v>
      </c>
    </row>
    <row r="91" spans="1:5" ht="12.75">
      <c r="A91" s="2" t="str">
        <f>'NORTH FORK'!A66</f>
        <v>Quantity Of Unallocated Supply</v>
      </c>
      <c r="B91" s="4">
        <f>+B80-B84-B86-B88</f>
        <v>30</v>
      </c>
      <c r="C91">
        <v>10</v>
      </c>
      <c r="D91">
        <v>10</v>
      </c>
      <c r="E91">
        <f t="shared" si="1"/>
        <v>10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60" max="2" man="1"/>
  </rowBreaks>
</worksheet>
</file>

<file path=xl/worksheets/sheet13.xml><?xml version="1.0" encoding="utf-8"?>
<worksheet xmlns="http://schemas.openxmlformats.org/spreadsheetml/2006/main" xmlns:r="http://schemas.openxmlformats.org/officeDocument/2006/relationships">
  <sheetPr codeName="Sheet13"/>
  <dimension ref="A1:G85"/>
  <sheetViews>
    <sheetView workbookViewId="0" topLeftCell="A1">
      <selection activeCell="A1" sqref="A1"/>
    </sheetView>
  </sheetViews>
  <sheetFormatPr defaultColWidth="9.140625" defaultRowHeight="12.75"/>
  <cols>
    <col min="1" max="1" width="69.8515625" style="0" customWidth="1"/>
    <col min="2" max="2" width="10.421875" style="0" customWidth="1"/>
  </cols>
  <sheetData>
    <row r="1" spans="1:7" ht="15.75">
      <c r="A1" s="59" t="s">
        <v>219</v>
      </c>
      <c r="B1">
        <f>INPUT!C1</f>
        <v>2005</v>
      </c>
      <c r="C1">
        <v>2003</v>
      </c>
      <c r="D1">
        <v>2004</v>
      </c>
      <c r="E1" s="309">
        <v>2005</v>
      </c>
      <c r="F1" s="309">
        <v>2006</v>
      </c>
      <c r="G1" s="309">
        <v>2007</v>
      </c>
    </row>
    <row r="2" ht="12.75"/>
    <row r="3" ht="15.75">
      <c r="A3" s="10" t="s">
        <v>174</v>
      </c>
    </row>
    <row r="4" ht="12.75">
      <c r="A4" s="8" t="s">
        <v>175</v>
      </c>
    </row>
    <row r="5" spans="1:5" ht="12.75">
      <c r="A5" s="52" t="str">
        <f>+INPUT!B56</f>
        <v>Imported Water Nebraska</v>
      </c>
      <c r="B5" s="52">
        <f>+INPUT!C56</f>
        <v>0</v>
      </c>
      <c r="C5">
        <v>0</v>
      </c>
      <c r="D5">
        <v>0</v>
      </c>
      <c r="E5">
        <f>D5</f>
        <v>0</v>
      </c>
    </row>
    <row r="6" spans="1:5" ht="12.75">
      <c r="A6" s="52" t="str">
        <f>+INPUT!B34</f>
        <v>GW CBCU Colorado</v>
      </c>
      <c r="B6" s="52">
        <f>+INPUT!C34</f>
        <v>0</v>
      </c>
      <c r="C6">
        <v>0</v>
      </c>
      <c r="D6">
        <v>0</v>
      </c>
      <c r="E6">
        <f>D6</f>
        <v>0</v>
      </c>
    </row>
    <row r="7" spans="1:5" ht="12.75">
      <c r="A7" s="52" t="str">
        <f>+INPUT!B35</f>
        <v>GW CBCU Kansas</v>
      </c>
      <c r="B7" s="52">
        <f>+INPUT!C35</f>
        <v>-1462</v>
      </c>
      <c r="C7">
        <v>-274</v>
      </c>
      <c r="D7">
        <v>-205</v>
      </c>
      <c r="E7">
        <f aca="true" t="shared" si="0" ref="E7:E70">D7</f>
        <v>-205</v>
      </c>
    </row>
    <row r="8" spans="1:5" ht="12" customHeight="1">
      <c r="A8" s="52" t="str">
        <f>+INPUT!B36</f>
        <v>GW CBCU Nebraska</v>
      </c>
      <c r="B8" s="52">
        <f>+INPUT!C36</f>
        <v>702</v>
      </c>
      <c r="C8">
        <v>500</v>
      </c>
      <c r="D8">
        <v>556</v>
      </c>
      <c r="E8">
        <f t="shared" si="0"/>
        <v>556</v>
      </c>
    </row>
    <row r="9" spans="1:5" ht="12.75">
      <c r="A9" s="2"/>
      <c r="B9" s="2"/>
      <c r="E9">
        <f t="shared" si="0"/>
        <v>0</v>
      </c>
    </row>
    <row r="10" spans="1:5" ht="12.75">
      <c r="A10" s="5" t="s">
        <v>177</v>
      </c>
      <c r="B10" s="2"/>
      <c r="E10">
        <f t="shared" si="0"/>
        <v>0</v>
      </c>
    </row>
    <row r="11" spans="1:5" ht="12.75">
      <c r="A11" s="52" t="str">
        <f>+INPUT!B193</f>
        <v>Sappa Creek Near Stamford</v>
      </c>
      <c r="B11" s="52">
        <f>+INPUT!C193</f>
        <v>262</v>
      </c>
      <c r="C11">
        <v>179.11552</v>
      </c>
      <c r="D11">
        <v>84</v>
      </c>
      <c r="E11">
        <f t="shared" si="0"/>
        <v>84</v>
      </c>
    </row>
    <row r="12" spans="1:5" ht="12.75">
      <c r="A12" s="52" t="str">
        <f>+INPUT!B192</f>
        <v>Beaver Creek Near Beaver City</v>
      </c>
      <c r="B12" s="52">
        <f>+INPUT!C192</f>
        <v>173</v>
      </c>
      <c r="C12">
        <v>220</v>
      </c>
      <c r="D12">
        <v>163</v>
      </c>
      <c r="E12">
        <f t="shared" si="0"/>
        <v>163</v>
      </c>
    </row>
    <row r="13" spans="1:5" ht="12.75">
      <c r="A13" s="107" t="str">
        <f>+INPUT!B122</f>
        <v>SW Diversions - Irrigation - Non-Federal Canals- Kansas</v>
      </c>
      <c r="B13" s="107">
        <f>+INPUT!C122</f>
        <v>0</v>
      </c>
      <c r="C13">
        <v>0</v>
      </c>
      <c r="D13">
        <v>0</v>
      </c>
      <c r="E13">
        <f t="shared" si="0"/>
        <v>0</v>
      </c>
    </row>
    <row r="14" spans="1:5" ht="12.75">
      <c r="A14" s="107" t="str">
        <f>+INPUT!B123</f>
        <v>SW Diversions - Irrigation - Small Pumps - Kansas</v>
      </c>
      <c r="B14" s="107">
        <f>+INPUT!C123</f>
        <v>3</v>
      </c>
      <c r="C14">
        <v>14</v>
      </c>
      <c r="D14">
        <v>28</v>
      </c>
      <c r="E14">
        <f t="shared" si="0"/>
        <v>28</v>
      </c>
    </row>
    <row r="15" spans="1:5" ht="12.75">
      <c r="A15" s="107" t="str">
        <f>+INPUT!B124</f>
        <v>SW Diversions - M&amp;I - Kansas</v>
      </c>
      <c r="B15" s="107">
        <f>+INPUT!C124</f>
        <v>0</v>
      </c>
      <c r="C15">
        <v>0</v>
      </c>
      <c r="D15">
        <v>0</v>
      </c>
      <c r="E15">
        <f t="shared" si="0"/>
        <v>0</v>
      </c>
    </row>
    <row r="16" spans="1:5" ht="12.75">
      <c r="A16" s="107" t="str">
        <f>+INPUT!B125</f>
        <v>SW Diversions - Irrigation - Non-Federal Canals - Nebraska</v>
      </c>
      <c r="B16" s="107">
        <f>+INPUT!C125</f>
        <v>0</v>
      </c>
      <c r="C16">
        <v>0</v>
      </c>
      <c r="D16">
        <v>0</v>
      </c>
      <c r="E16">
        <f t="shared" si="0"/>
        <v>0</v>
      </c>
    </row>
    <row r="17" spans="1:5" ht="12.75">
      <c r="A17" s="107" t="str">
        <f>+INPUT!B126</f>
        <v>SW Diversions - Irrigation - Small Pumps - Nebraska</v>
      </c>
      <c r="B17" s="107">
        <f>+INPUT!C126</f>
        <v>53.6</v>
      </c>
      <c r="C17">
        <v>0</v>
      </c>
      <c r="D17">
        <v>19.6</v>
      </c>
      <c r="E17">
        <f t="shared" si="0"/>
        <v>19.6</v>
      </c>
    </row>
    <row r="18" spans="1:5" ht="12.75">
      <c r="A18" s="107" t="str">
        <f>+INPUT!B127</f>
        <v>SW Diversions - M&amp;I - Nebraska</v>
      </c>
      <c r="B18" s="107">
        <f>+INPUT!C127</f>
        <v>0</v>
      </c>
      <c r="C18">
        <v>0</v>
      </c>
      <c r="D18">
        <v>0</v>
      </c>
      <c r="E18">
        <f t="shared" si="0"/>
        <v>0</v>
      </c>
    </row>
    <row r="19" spans="1:5" ht="12.75">
      <c r="A19" s="107" t="str">
        <f>+INPUT!B128</f>
        <v>SW Diversions - Irrigation - Non-Federal Canals - Nebraska -Below Gage</v>
      </c>
      <c r="B19" s="107">
        <f>+INPUT!C128</f>
        <v>0</v>
      </c>
      <c r="C19">
        <v>0</v>
      </c>
      <c r="D19">
        <v>0</v>
      </c>
      <c r="E19">
        <f t="shared" si="0"/>
        <v>0</v>
      </c>
    </row>
    <row r="20" spans="1:5" ht="12.75">
      <c r="A20" s="107" t="str">
        <f>+INPUT!B129</f>
        <v>SW Diversions - Irrigation - Small Pumps -Nebraska - Below Gage</v>
      </c>
      <c r="B20" s="107">
        <f>+INPUT!C129</f>
        <v>0</v>
      </c>
      <c r="C20">
        <v>19.8</v>
      </c>
      <c r="D20">
        <v>0</v>
      </c>
      <c r="E20">
        <f t="shared" si="0"/>
        <v>0</v>
      </c>
    </row>
    <row r="21" spans="1:5" ht="12.75">
      <c r="A21" s="107" t="str">
        <f>+INPUT!B130</f>
        <v>SW Diversions - M&amp;I - Nebraska - Below Gage</v>
      </c>
      <c r="B21" s="107">
        <f>+INPUT!C130</f>
        <v>0</v>
      </c>
      <c r="C21">
        <v>0</v>
      </c>
      <c r="D21">
        <v>0</v>
      </c>
      <c r="E21">
        <f t="shared" si="0"/>
        <v>0</v>
      </c>
    </row>
    <row r="22" spans="1:5" ht="12.75">
      <c r="A22" s="107" t="str">
        <f>+INPUT!B173</f>
        <v>Non-Federal Reservoir Evaporation - Kansas</v>
      </c>
      <c r="B22" s="107">
        <f>+INPUT!C173</f>
        <v>278.3</v>
      </c>
      <c r="C22">
        <v>0</v>
      </c>
      <c r="D22">
        <v>278.3</v>
      </c>
      <c r="E22">
        <f t="shared" si="0"/>
        <v>278.3</v>
      </c>
    </row>
    <row r="23" spans="1:5" ht="12.75">
      <c r="A23" s="107" t="str">
        <f>+INPUT!B174</f>
        <v>Non-Federal Reservoir Evaporation - Nebraska</v>
      </c>
      <c r="B23" s="107">
        <f>+INPUT!C174</f>
        <v>42.8</v>
      </c>
      <c r="C23">
        <v>0</v>
      </c>
      <c r="D23">
        <v>22.3</v>
      </c>
      <c r="E23">
        <f t="shared" si="0"/>
        <v>22.3</v>
      </c>
    </row>
    <row r="24" spans="1:5" ht="12.75">
      <c r="A24" s="107" t="str">
        <f>+INPUT!B175</f>
        <v>Non-Federal Reservoir Evaporation - Nebraska - Below Gage</v>
      </c>
      <c r="B24" s="107">
        <f>+INPUT!C175</f>
        <v>5.2</v>
      </c>
      <c r="C24">
        <v>0</v>
      </c>
      <c r="D24">
        <v>7.3</v>
      </c>
      <c r="E24">
        <f t="shared" si="0"/>
        <v>7.3</v>
      </c>
    </row>
    <row r="25" spans="1:5" ht="12.75">
      <c r="A25" s="107" t="str">
        <f>+INPUT!B209</f>
        <v>Sappa Flood Flow</v>
      </c>
      <c r="B25" s="107">
        <f>+INPUT!C209</f>
        <v>0</v>
      </c>
      <c r="C25">
        <v>0</v>
      </c>
      <c r="D25">
        <v>0</v>
      </c>
      <c r="E25">
        <f t="shared" si="0"/>
        <v>0</v>
      </c>
    </row>
    <row r="26" spans="1:5" ht="12.75">
      <c r="A26" s="122" t="s">
        <v>81</v>
      </c>
      <c r="B26" s="16"/>
      <c r="E26">
        <f t="shared" si="0"/>
        <v>0</v>
      </c>
    </row>
    <row r="27" spans="1:5" ht="15.75">
      <c r="A27" s="10" t="s">
        <v>258</v>
      </c>
      <c r="B27" s="16"/>
      <c r="E27">
        <f t="shared" si="0"/>
        <v>0</v>
      </c>
    </row>
    <row r="28" spans="1:5" ht="12.75">
      <c r="A28" s="8" t="s">
        <v>0</v>
      </c>
      <c r="B28" s="16"/>
      <c r="E28">
        <f t="shared" si="0"/>
        <v>0</v>
      </c>
    </row>
    <row r="29" spans="1:5" ht="12.75">
      <c r="A29" s="16" t="str">
        <f>'NORTH FORK'!A28</f>
        <v>GW CBCU</v>
      </c>
      <c r="B29" s="16">
        <f>+B6</f>
        <v>0</v>
      </c>
      <c r="C29">
        <v>0</v>
      </c>
      <c r="D29">
        <v>0</v>
      </c>
      <c r="E29">
        <f t="shared" si="0"/>
        <v>0</v>
      </c>
    </row>
    <row r="30" spans="1:5" ht="12.75">
      <c r="A30" s="16" t="str">
        <f>'NORTH FORK'!A29</f>
        <v>Total CBCU</v>
      </c>
      <c r="B30" s="73">
        <f>(ROUND(SUM(B29:B29),-1))</f>
        <v>0</v>
      </c>
      <c r="C30">
        <v>0</v>
      </c>
      <c r="D30">
        <v>0</v>
      </c>
      <c r="E30">
        <f t="shared" si="0"/>
        <v>0</v>
      </c>
    </row>
    <row r="31" spans="1:5" ht="12.75">
      <c r="A31" s="16" t="s">
        <v>81</v>
      </c>
      <c r="B31" s="16"/>
      <c r="E31">
        <f t="shared" si="0"/>
        <v>0</v>
      </c>
    </row>
    <row r="32" spans="1:5" ht="12.75">
      <c r="A32" s="8" t="s">
        <v>178</v>
      </c>
      <c r="B32" s="16"/>
      <c r="E32">
        <f t="shared" si="0"/>
        <v>0</v>
      </c>
    </row>
    <row r="33" spans="1:5" ht="12.75">
      <c r="A33" s="12" t="str">
        <f>'NORTH FORK'!A23</f>
        <v>SW CBCU - Irrigation - Non Federal Canals</v>
      </c>
      <c r="B33" s="98">
        <f>+B13*CanalCUPercent</f>
        <v>0</v>
      </c>
      <c r="C33">
        <v>0</v>
      </c>
      <c r="D33">
        <v>0</v>
      </c>
      <c r="E33">
        <f t="shared" si="0"/>
        <v>0</v>
      </c>
    </row>
    <row r="34" spans="1:5" ht="12.75">
      <c r="A34" s="12" t="str">
        <f>'NORTH FORK'!A24</f>
        <v>SW CBCU - Irrigation - Small Pumps</v>
      </c>
      <c r="B34" s="98">
        <f>+B14*PumperCUPercent</f>
        <v>2.25</v>
      </c>
      <c r="C34">
        <v>10.5</v>
      </c>
      <c r="D34">
        <v>21</v>
      </c>
      <c r="E34">
        <f t="shared" si="0"/>
        <v>21</v>
      </c>
    </row>
    <row r="35" spans="1:5" ht="12.75">
      <c r="A35" s="12" t="str">
        <f>'NORTH FORK'!A25</f>
        <v>SW CBCU - M&amp;I</v>
      </c>
      <c r="B35" s="98">
        <f>+B15*MI_CUPercent</f>
        <v>0</v>
      </c>
      <c r="C35">
        <v>0</v>
      </c>
      <c r="D35">
        <v>0</v>
      </c>
      <c r="E35">
        <f t="shared" si="0"/>
        <v>0</v>
      </c>
    </row>
    <row r="36" spans="1:5" ht="12.75">
      <c r="A36" s="12" t="str">
        <f>'NORTH FORK'!A26</f>
        <v>Non-Federal Reservoir Evaporation</v>
      </c>
      <c r="B36" s="16">
        <f>B22</f>
        <v>278.3</v>
      </c>
      <c r="C36">
        <v>0</v>
      </c>
      <c r="D36">
        <v>278.3</v>
      </c>
      <c r="E36">
        <f t="shared" si="0"/>
        <v>278.3</v>
      </c>
    </row>
    <row r="37" spans="1:5" ht="12.75">
      <c r="A37" s="12" t="str">
        <f>'NORTH FORK'!A27</f>
        <v>SW CBCU</v>
      </c>
      <c r="B37" s="73">
        <f>B33+B34+B35+B36</f>
        <v>280.55</v>
      </c>
      <c r="C37">
        <v>10.5</v>
      </c>
      <c r="D37">
        <v>299.3</v>
      </c>
      <c r="E37">
        <f t="shared" si="0"/>
        <v>299.3</v>
      </c>
    </row>
    <row r="38" spans="1:5" ht="12.75">
      <c r="A38" s="12" t="str">
        <f>'NORTH FORK'!A28</f>
        <v>GW CBCU</v>
      </c>
      <c r="B38" s="16">
        <f>+B7</f>
        <v>-1462</v>
      </c>
      <c r="C38">
        <v>-274</v>
      </c>
      <c r="D38">
        <v>-205</v>
      </c>
      <c r="E38">
        <f t="shared" si="0"/>
        <v>-205</v>
      </c>
    </row>
    <row r="39" spans="1:5" ht="12.75">
      <c r="A39" s="12" t="str">
        <f>'NORTH FORK'!A29</f>
        <v>Total CBCU</v>
      </c>
      <c r="B39" s="73">
        <f>(ROUND(SUM(B37:B38),-1))</f>
        <v>-1180</v>
      </c>
      <c r="C39">
        <v>-260</v>
      </c>
      <c r="D39">
        <v>90</v>
      </c>
      <c r="E39">
        <f t="shared" si="0"/>
        <v>90</v>
      </c>
    </row>
    <row r="40" spans="1:5" ht="12.75">
      <c r="A40" s="16" t="s">
        <v>81</v>
      </c>
      <c r="B40" s="16"/>
      <c r="E40">
        <f t="shared" si="0"/>
        <v>0</v>
      </c>
    </row>
    <row r="41" spans="1:5" ht="12.75">
      <c r="A41" s="8" t="s">
        <v>1</v>
      </c>
      <c r="B41" s="16"/>
      <c r="E41">
        <f t="shared" si="0"/>
        <v>0</v>
      </c>
    </row>
    <row r="42" spans="1:5" ht="12.75">
      <c r="A42" s="8"/>
      <c r="B42" s="16"/>
      <c r="E42">
        <f t="shared" si="0"/>
        <v>0</v>
      </c>
    </row>
    <row r="43" spans="1:5" ht="12.75">
      <c r="A43" s="16" t="str">
        <f>'MEDICINE CREEK'!A34</f>
        <v>SW CBCU - Irrigation - Non Federal Canals</v>
      </c>
      <c r="B43" s="73">
        <f>B16*CanalCUPercent</f>
        <v>0</v>
      </c>
      <c r="C43">
        <v>0</v>
      </c>
      <c r="D43">
        <v>0</v>
      </c>
      <c r="E43">
        <f t="shared" si="0"/>
        <v>0</v>
      </c>
    </row>
    <row r="44" spans="1:5" ht="12.75">
      <c r="A44" s="16" t="str">
        <f>'MEDICINE CREEK'!A35</f>
        <v>SW CBCU - Irrigation - Small Pumps</v>
      </c>
      <c r="B44" s="73">
        <f>B17*PumperCUPercent</f>
        <v>40.2</v>
      </c>
      <c r="C44">
        <v>0</v>
      </c>
      <c r="D44">
        <v>14.7</v>
      </c>
      <c r="E44">
        <f t="shared" si="0"/>
        <v>14.7</v>
      </c>
    </row>
    <row r="45" spans="1:5" ht="12.75">
      <c r="A45" s="16" t="str">
        <f>'MEDICINE CREEK'!A36</f>
        <v>SW CBCU - M&amp;I</v>
      </c>
      <c r="B45" s="73">
        <f>B18*MI_CUPercent</f>
        <v>0</v>
      </c>
      <c r="C45">
        <v>0</v>
      </c>
      <c r="D45">
        <v>0</v>
      </c>
      <c r="E45">
        <f t="shared" si="0"/>
        <v>0</v>
      </c>
    </row>
    <row r="46" spans="1:5" ht="12.75">
      <c r="A46" s="16" t="str">
        <f>'MEDICINE CREEK'!A37</f>
        <v>SW CBCU - Irrigation - Non Federal Canals - Below Gage</v>
      </c>
      <c r="B46" s="123">
        <f>B19*CanalCUPercent</f>
        <v>0</v>
      </c>
      <c r="C46">
        <v>0</v>
      </c>
      <c r="D46">
        <v>0</v>
      </c>
      <c r="E46">
        <f t="shared" si="0"/>
        <v>0</v>
      </c>
    </row>
    <row r="47" spans="1:5" ht="12.75">
      <c r="A47" s="16" t="str">
        <f>'MEDICINE CREEK'!A38</f>
        <v>SW CBCU - Irrigation - Small Pumps - Below Gage</v>
      </c>
      <c r="B47" s="123">
        <f>B20*PumperCUPercent</f>
        <v>0</v>
      </c>
      <c r="C47">
        <v>14.85</v>
      </c>
      <c r="D47">
        <v>0</v>
      </c>
      <c r="E47">
        <f t="shared" si="0"/>
        <v>0</v>
      </c>
    </row>
    <row r="48" spans="1:5" ht="12.75">
      <c r="A48" s="16" t="str">
        <f>'MEDICINE CREEK'!A39</f>
        <v>SW CBCU - M&amp;I - Below Gage</v>
      </c>
      <c r="B48" s="123">
        <f>B21*MI_CUPercent</f>
        <v>0</v>
      </c>
      <c r="C48">
        <v>0</v>
      </c>
      <c r="D48">
        <v>0</v>
      </c>
      <c r="E48">
        <f t="shared" si="0"/>
        <v>0</v>
      </c>
    </row>
    <row r="49" spans="1:5" ht="12.75">
      <c r="A49" s="98" t="str">
        <f>'MEDICINE CREEK'!A40</f>
        <v>Non-Federal Reservoir Evaporation</v>
      </c>
      <c r="B49" s="98">
        <f>B23</f>
        <v>42.8</v>
      </c>
      <c r="C49">
        <v>0</v>
      </c>
      <c r="D49">
        <v>22.3</v>
      </c>
      <c r="E49">
        <f t="shared" si="0"/>
        <v>22.3</v>
      </c>
    </row>
    <row r="50" spans="1:5" ht="12.75">
      <c r="A50" s="98" t="str">
        <f>'MEDICINE CREEK'!A41</f>
        <v>Non-Federal Reservoir Evaporation - Below gage</v>
      </c>
      <c r="B50" s="98">
        <f>B24</f>
        <v>5.2</v>
      </c>
      <c r="C50">
        <v>0</v>
      </c>
      <c r="D50">
        <v>7.3</v>
      </c>
      <c r="E50">
        <f t="shared" si="0"/>
        <v>7.3</v>
      </c>
    </row>
    <row r="51" spans="1:5" ht="12.75">
      <c r="A51" s="16" t="str">
        <f>'MEDICINE CREEK'!A42</f>
        <v>SW CBCU</v>
      </c>
      <c r="B51" s="123">
        <f>B43+B44+B45+B46+B47+B48+B49</f>
        <v>83</v>
      </c>
      <c r="C51">
        <v>14.85</v>
      </c>
      <c r="D51">
        <v>37</v>
      </c>
      <c r="E51">
        <f t="shared" si="0"/>
        <v>37</v>
      </c>
    </row>
    <row r="52" spans="1:5" ht="12.75">
      <c r="A52" s="16" t="str">
        <f>'MEDICINE CREEK'!A43</f>
        <v>GW CBCU</v>
      </c>
      <c r="B52" s="123">
        <f>+B8</f>
        <v>702</v>
      </c>
      <c r="C52">
        <v>500</v>
      </c>
      <c r="D52">
        <v>556</v>
      </c>
      <c r="E52">
        <f t="shared" si="0"/>
        <v>556</v>
      </c>
    </row>
    <row r="53" spans="1:5" ht="12.75">
      <c r="A53" s="16" t="str">
        <f>'MEDICINE CREEK'!A44</f>
        <v>Total CBCU</v>
      </c>
      <c r="B53" s="73">
        <f>(ROUND(SUM(B51:B52),-1))</f>
        <v>790</v>
      </c>
      <c r="C53">
        <v>510</v>
      </c>
      <c r="D53">
        <v>590</v>
      </c>
      <c r="E53">
        <f t="shared" si="0"/>
        <v>590</v>
      </c>
    </row>
    <row r="54" spans="1:5" ht="12.75">
      <c r="A54" s="98" t="s">
        <v>81</v>
      </c>
      <c r="B54" s="16"/>
      <c r="E54">
        <f t="shared" si="0"/>
        <v>0</v>
      </c>
    </row>
    <row r="55" spans="1:5" ht="12.75">
      <c r="A55" s="49" t="s">
        <v>358</v>
      </c>
      <c r="B55" s="16"/>
      <c r="E55">
        <f t="shared" si="0"/>
        <v>0</v>
      </c>
    </row>
    <row r="56" spans="1:5" ht="12.75">
      <c r="A56" s="16" t="s">
        <v>244</v>
      </c>
      <c r="B56" s="73">
        <f>B46+B47+B48+B50</f>
        <v>5.2</v>
      </c>
      <c r="C56">
        <v>14.85</v>
      </c>
      <c r="D56">
        <v>7.3</v>
      </c>
      <c r="E56">
        <f t="shared" si="0"/>
        <v>7.3</v>
      </c>
    </row>
    <row r="57" spans="1:5" ht="12.75">
      <c r="A57" s="98" t="str">
        <f>'MEDICINE CREEK'!A53</f>
        <v>Total</v>
      </c>
      <c r="B57" s="73">
        <f>B56</f>
        <v>5.2</v>
      </c>
      <c r="C57">
        <v>14.85</v>
      </c>
      <c r="D57">
        <v>7.3</v>
      </c>
      <c r="E57">
        <f t="shared" si="0"/>
        <v>7.3</v>
      </c>
    </row>
    <row r="58" spans="1:5" ht="12.75">
      <c r="A58" s="98" t="s">
        <v>81</v>
      </c>
      <c r="B58" s="16"/>
      <c r="E58">
        <f t="shared" si="0"/>
        <v>0</v>
      </c>
    </row>
    <row r="59" spans="1:5" ht="12.75">
      <c r="A59" s="5" t="s">
        <v>179</v>
      </c>
      <c r="B59" s="16"/>
      <c r="E59">
        <f t="shared" si="0"/>
        <v>0</v>
      </c>
    </row>
    <row r="60" spans="1:5" ht="12.75">
      <c r="A60" s="98" t="str">
        <f>'NORTH FORK'!A42</f>
        <v>Total SW CBCU</v>
      </c>
      <c r="B60" s="73">
        <f>+B37+B51</f>
        <v>363.55</v>
      </c>
      <c r="C60">
        <v>25.35</v>
      </c>
      <c r="D60">
        <v>336.3</v>
      </c>
      <c r="E60">
        <f t="shared" si="0"/>
        <v>336.3</v>
      </c>
    </row>
    <row r="61" spans="1:5" ht="12.75">
      <c r="A61" s="98" t="str">
        <f>'NORTH FORK'!A43</f>
        <v>Total GW CBCU</v>
      </c>
      <c r="B61" s="73">
        <f>+B29+B38+B52</f>
        <v>-760</v>
      </c>
      <c r="C61">
        <v>226</v>
      </c>
      <c r="D61">
        <v>351</v>
      </c>
      <c r="E61">
        <f t="shared" si="0"/>
        <v>351</v>
      </c>
    </row>
    <row r="62" spans="1:5" ht="12.75">
      <c r="A62" s="98" t="str">
        <f>'NORTH FORK'!A44</f>
        <v>Total Basin CBCU</v>
      </c>
      <c r="B62" s="73">
        <f>SUM(B60:B61)</f>
        <v>-396.45</v>
      </c>
      <c r="C62">
        <v>251.35</v>
      </c>
      <c r="D62">
        <v>687.3</v>
      </c>
      <c r="E62">
        <f t="shared" si="0"/>
        <v>687.3</v>
      </c>
    </row>
    <row r="63" spans="1:5" ht="12.75">
      <c r="A63" s="98" t="s">
        <v>81</v>
      </c>
      <c r="B63" s="16"/>
      <c r="E63">
        <f t="shared" si="0"/>
        <v>0</v>
      </c>
    </row>
    <row r="64" spans="1:5" ht="15.75">
      <c r="A64" s="11" t="s">
        <v>10</v>
      </c>
      <c r="B64" s="16"/>
      <c r="E64">
        <f t="shared" si="0"/>
        <v>0</v>
      </c>
    </row>
    <row r="65" spans="1:5" ht="12.75">
      <c r="A65" s="73" t="str">
        <f>A11</f>
        <v>Sappa Creek Near Stamford</v>
      </c>
      <c r="B65" s="73">
        <f>B11</f>
        <v>262</v>
      </c>
      <c r="C65">
        <v>179.11552</v>
      </c>
      <c r="D65">
        <v>84</v>
      </c>
      <c r="E65">
        <f t="shared" si="0"/>
        <v>84</v>
      </c>
    </row>
    <row r="66" spans="1:5" ht="12.75">
      <c r="A66" s="73" t="str">
        <f>A12</f>
        <v>Beaver Creek Near Beaver City</v>
      </c>
      <c r="B66" s="73">
        <f>B12</f>
        <v>173</v>
      </c>
      <c r="C66">
        <v>220</v>
      </c>
      <c r="D66">
        <v>163</v>
      </c>
      <c r="E66">
        <f t="shared" si="0"/>
        <v>163</v>
      </c>
    </row>
    <row r="67" spans="1:5" ht="12.75">
      <c r="A67" s="16" t="str">
        <f>'NORTH FORK'!A49</f>
        <v>Colorado CBCU</v>
      </c>
      <c r="B67" s="73">
        <f>+B30</f>
        <v>0</v>
      </c>
      <c r="C67">
        <v>0</v>
      </c>
      <c r="D67">
        <v>0</v>
      </c>
      <c r="E67">
        <f t="shared" si="0"/>
        <v>0</v>
      </c>
    </row>
    <row r="68" spans="1:5" ht="12.75">
      <c r="A68" s="16" t="str">
        <f>'NORTH FORK'!A50</f>
        <v>Kansas CBCU</v>
      </c>
      <c r="B68" s="73">
        <f>+B39</f>
        <v>-1180</v>
      </c>
      <c r="C68">
        <v>-260</v>
      </c>
      <c r="D68">
        <v>90</v>
      </c>
      <c r="E68">
        <f t="shared" si="0"/>
        <v>90</v>
      </c>
    </row>
    <row r="69" spans="1:5" ht="12.75">
      <c r="A69" s="16" t="str">
        <f>'NORTH FORK'!A51</f>
        <v>Nebraska CBCU</v>
      </c>
      <c r="B69" s="73">
        <f>B53</f>
        <v>790</v>
      </c>
      <c r="C69">
        <v>510</v>
      </c>
      <c r="D69">
        <v>590</v>
      </c>
      <c r="E69">
        <f t="shared" si="0"/>
        <v>590</v>
      </c>
    </row>
    <row r="70" spans="1:5" ht="12.75">
      <c r="A70" s="16" t="str">
        <f>A56</f>
        <v>SW CBCU Below The Gage</v>
      </c>
      <c r="B70" s="73">
        <f>B57</f>
        <v>5.2</v>
      </c>
      <c r="C70">
        <v>14.85</v>
      </c>
      <c r="D70">
        <v>7.3</v>
      </c>
      <c r="E70">
        <f t="shared" si="0"/>
        <v>7.3</v>
      </c>
    </row>
    <row r="71" spans="1:5" ht="12.75">
      <c r="A71" s="16" t="str">
        <f>'NORTH FORK'!A52</f>
        <v>Imported Water</v>
      </c>
      <c r="B71" s="16">
        <f>+B5</f>
        <v>0</v>
      </c>
      <c r="C71">
        <v>0</v>
      </c>
      <c r="D71">
        <v>0</v>
      </c>
      <c r="E71">
        <f aca="true" t="shared" si="1" ref="E71:E85">D71</f>
        <v>0</v>
      </c>
    </row>
    <row r="72" spans="1:5" ht="12.75">
      <c r="A72" s="16" t="str">
        <f>'NORTH FORK'!A53</f>
        <v>Virgin Water Supply</v>
      </c>
      <c r="B72" s="123">
        <f>ROUND(B65-B66+B67+B68+B69-B70-B71,-1)</f>
        <v>-310</v>
      </c>
      <c r="C72">
        <v>190</v>
      </c>
      <c r="D72">
        <v>590</v>
      </c>
      <c r="E72">
        <f t="shared" si="1"/>
        <v>590</v>
      </c>
    </row>
    <row r="73" spans="1:5" ht="12.75">
      <c r="A73" s="16" t="str">
        <f>'NORTH FORK'!A54</f>
        <v>Adjustment For Flood Flows</v>
      </c>
      <c r="B73" s="16">
        <f>B25</f>
        <v>0</v>
      </c>
      <c r="C73">
        <v>0</v>
      </c>
      <c r="D73">
        <v>0</v>
      </c>
      <c r="E73">
        <f t="shared" si="1"/>
        <v>0</v>
      </c>
    </row>
    <row r="74" spans="1:5" ht="12.75">
      <c r="A74" s="2" t="str">
        <f>'NORTH FORK'!A55</f>
        <v>Computed Water Supply</v>
      </c>
      <c r="B74" s="4">
        <f>+ROUND(B72-B73,-1)</f>
        <v>-310</v>
      </c>
      <c r="C74">
        <v>190</v>
      </c>
      <c r="D74">
        <v>590</v>
      </c>
      <c r="E74">
        <f t="shared" si="1"/>
        <v>590</v>
      </c>
    </row>
    <row r="75" spans="1:5" ht="12.75">
      <c r="A75" s="9" t="s">
        <v>81</v>
      </c>
      <c r="B75" s="2"/>
      <c r="E75">
        <f t="shared" si="1"/>
        <v>0</v>
      </c>
    </row>
    <row r="76" spans="1:5" ht="15.75">
      <c r="A76" s="11" t="s">
        <v>12</v>
      </c>
      <c r="B76" s="13"/>
      <c r="E76">
        <f t="shared" si="1"/>
        <v>0</v>
      </c>
    </row>
    <row r="77" spans="1:5" ht="12.75">
      <c r="A77" s="2" t="str">
        <f>'NORTH FORK'!A58</f>
        <v>Colorado Percent Of Allocation</v>
      </c>
      <c r="B77" s="72">
        <f>'T2'!D13</f>
        <v>0</v>
      </c>
      <c r="C77">
        <v>0</v>
      </c>
      <c r="D77">
        <v>0</v>
      </c>
      <c r="E77">
        <f t="shared" si="1"/>
        <v>0</v>
      </c>
    </row>
    <row r="78" spans="1:5" ht="12.75">
      <c r="A78" s="2" t="str">
        <f>'NORTH FORK'!A59</f>
        <v>Colorado Allocation</v>
      </c>
      <c r="B78" s="29">
        <f>ROUND(+B74*B77,-1)</f>
        <v>0</v>
      </c>
      <c r="C78">
        <v>0</v>
      </c>
      <c r="D78">
        <v>0</v>
      </c>
      <c r="E78">
        <f t="shared" si="1"/>
        <v>0</v>
      </c>
    </row>
    <row r="79" spans="1:5" ht="12.75">
      <c r="A79" s="2" t="str">
        <f>'NORTH FORK'!A60</f>
        <v>Kansas Percent Of Allocation</v>
      </c>
      <c r="B79" s="72">
        <f>'T2'!F13</f>
        <v>0.411</v>
      </c>
      <c r="C79">
        <v>0.411</v>
      </c>
      <c r="D79">
        <v>0.411</v>
      </c>
      <c r="E79">
        <f t="shared" si="1"/>
        <v>0.411</v>
      </c>
    </row>
    <row r="80" spans="1:5" ht="12.75">
      <c r="A80" s="2" t="str">
        <f>'NORTH FORK'!A61</f>
        <v>Kansas Allocation</v>
      </c>
      <c r="B80" s="29">
        <f>ROUND(B74*B79,-1)</f>
        <v>-130</v>
      </c>
      <c r="C80">
        <v>80</v>
      </c>
      <c r="D80">
        <v>240</v>
      </c>
      <c r="E80">
        <f t="shared" si="1"/>
        <v>240</v>
      </c>
    </row>
    <row r="81" spans="1:5" ht="12.75">
      <c r="A81" s="2" t="str">
        <f>'NORTH FORK'!A62</f>
        <v>Nebraska Percent Of Allocation</v>
      </c>
      <c r="B81" s="72">
        <f>'T2'!H13</f>
        <v>0.411</v>
      </c>
      <c r="C81">
        <v>0.411</v>
      </c>
      <c r="D81">
        <v>0.411</v>
      </c>
      <c r="E81">
        <f t="shared" si="1"/>
        <v>0.411</v>
      </c>
    </row>
    <row r="82" spans="1:5" ht="12.75">
      <c r="A82" s="2" t="str">
        <f>'NORTH FORK'!A63</f>
        <v>Nebraska Allocation</v>
      </c>
      <c r="B82" s="29">
        <f>ROUND(B74*B81,-1)</f>
        <v>-130</v>
      </c>
      <c r="C82">
        <v>80</v>
      </c>
      <c r="D82">
        <v>240</v>
      </c>
      <c r="E82">
        <f t="shared" si="1"/>
        <v>240</v>
      </c>
    </row>
    <row r="83" spans="1:5" ht="12.75">
      <c r="A83" s="2" t="str">
        <f>'NORTH FORK'!A64</f>
        <v>Total Basin Allocation</v>
      </c>
      <c r="B83" s="29">
        <f>+B78+B80+B82</f>
        <v>-260</v>
      </c>
      <c r="C83">
        <v>160</v>
      </c>
      <c r="D83">
        <v>480</v>
      </c>
      <c r="E83">
        <f t="shared" si="1"/>
        <v>480</v>
      </c>
    </row>
    <row r="84" spans="1:5" ht="12.75">
      <c r="A84" s="2" t="str">
        <f>'NORTH FORK'!A65</f>
        <v>Percent Of Supply Not Allocated</v>
      </c>
      <c r="B84" s="72">
        <f>'T2'!J13</f>
        <v>0.178</v>
      </c>
      <c r="C84">
        <v>0.178</v>
      </c>
      <c r="D84">
        <v>0.178</v>
      </c>
      <c r="E84">
        <f t="shared" si="1"/>
        <v>0.178</v>
      </c>
    </row>
    <row r="85" spans="1:5" ht="12.75">
      <c r="A85" s="2" t="str">
        <f>'NORTH FORK'!A66</f>
        <v>Quantity Of Unallocated Supply</v>
      </c>
      <c r="B85" s="4">
        <f>+B74-B78-B80-B82</f>
        <v>-50</v>
      </c>
      <c r="C85">
        <v>30</v>
      </c>
      <c r="D85">
        <v>110</v>
      </c>
      <c r="E85">
        <f t="shared" si="1"/>
        <v>110</v>
      </c>
    </row>
  </sheetData>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6" max="1" man="1"/>
  </rowBreaks>
</worksheet>
</file>

<file path=xl/worksheets/sheet14.xml><?xml version="1.0" encoding="utf-8"?>
<worksheet xmlns="http://schemas.openxmlformats.org/spreadsheetml/2006/main" xmlns:r="http://schemas.openxmlformats.org/officeDocument/2006/relationships">
  <sheetPr codeName="Sheet14"/>
  <dimension ref="A1:G83"/>
  <sheetViews>
    <sheetView workbookViewId="0" topLeftCell="A1">
      <selection activeCell="A1" sqref="A1"/>
    </sheetView>
  </sheetViews>
  <sheetFormatPr defaultColWidth="9.140625" defaultRowHeight="12.75"/>
  <cols>
    <col min="1" max="1" width="69.00390625" style="0" customWidth="1"/>
  </cols>
  <sheetData>
    <row r="1" spans="1:7" ht="15.75">
      <c r="A1" s="59" t="s">
        <v>217</v>
      </c>
      <c r="B1">
        <f>INPUT!C1</f>
        <v>2005</v>
      </c>
      <c r="C1">
        <v>2003</v>
      </c>
      <c r="D1">
        <v>2004</v>
      </c>
      <c r="E1" s="309">
        <v>2005</v>
      </c>
      <c r="F1" s="309">
        <v>2006</v>
      </c>
      <c r="G1" s="309">
        <v>2007</v>
      </c>
    </row>
    <row r="2" ht="12.75"/>
    <row r="3" ht="15.75">
      <c r="A3" s="10" t="s">
        <v>174</v>
      </c>
    </row>
    <row r="4" ht="12.75">
      <c r="A4" s="8" t="s">
        <v>175</v>
      </c>
    </row>
    <row r="5" spans="1:5" ht="12.75">
      <c r="A5" s="52" t="str">
        <f>+INPUT!B57</f>
        <v>Imported Water Nebraska</v>
      </c>
      <c r="B5" s="52">
        <f>+INPUT!C57</f>
        <v>0</v>
      </c>
      <c r="C5">
        <v>0</v>
      </c>
      <c r="D5">
        <v>0</v>
      </c>
      <c r="E5">
        <f>D5</f>
        <v>0</v>
      </c>
    </row>
    <row r="6" spans="1:5" ht="12.75">
      <c r="A6" s="52" t="str">
        <f>+INPUT!B37</f>
        <v>GW CBCU Colorado</v>
      </c>
      <c r="B6" s="52">
        <f>+INPUT!C37</f>
        <v>0</v>
      </c>
      <c r="C6">
        <v>0</v>
      </c>
      <c r="D6">
        <v>0</v>
      </c>
      <c r="E6">
        <f>D6</f>
        <v>0</v>
      </c>
    </row>
    <row r="7" spans="1:5" ht="12.75">
      <c r="A7" s="52" t="str">
        <f>+INPUT!B38</f>
        <v>GW CBCU Kansas</v>
      </c>
      <c r="B7" s="52">
        <f>+INPUT!C38</f>
        <v>5775</v>
      </c>
      <c r="C7">
        <v>1679</v>
      </c>
      <c r="D7">
        <v>1824</v>
      </c>
      <c r="E7">
        <f aca="true" t="shared" si="0" ref="E7:E70">D7</f>
        <v>1824</v>
      </c>
    </row>
    <row r="8" spans="1:5" ht="12" customHeight="1">
      <c r="A8" s="52" t="str">
        <f>+INPUT!B39</f>
        <v>GW CBCU Nebraska</v>
      </c>
      <c r="B8" s="52">
        <f>+INPUT!C39</f>
        <v>0</v>
      </c>
      <c r="C8">
        <v>0</v>
      </c>
      <c r="D8">
        <v>0</v>
      </c>
      <c r="E8">
        <f t="shared" si="0"/>
        <v>0</v>
      </c>
    </row>
    <row r="9" spans="1:5" ht="12.75">
      <c r="A9" s="2" t="s">
        <v>81</v>
      </c>
      <c r="B9" s="2"/>
      <c r="E9">
        <f t="shared" si="0"/>
        <v>0</v>
      </c>
    </row>
    <row r="10" spans="1:5" ht="12.75">
      <c r="A10" s="5" t="s">
        <v>209</v>
      </c>
      <c r="B10" s="2"/>
      <c r="E10">
        <f t="shared" si="0"/>
        <v>0</v>
      </c>
    </row>
    <row r="11" spans="1:5" ht="12.75">
      <c r="A11" s="57" t="str">
        <f>+INPUT!B246</f>
        <v>Almena Canal % Return Flow</v>
      </c>
      <c r="B11" s="57">
        <f>+INPUT!C246</f>
        <v>1</v>
      </c>
      <c r="C11">
        <v>0.52</v>
      </c>
      <c r="D11">
        <v>1</v>
      </c>
      <c r="E11">
        <f t="shared" si="0"/>
        <v>1</v>
      </c>
    </row>
    <row r="12" spans="1:5" ht="12.75">
      <c r="A12" s="2" t="s">
        <v>81</v>
      </c>
      <c r="B12" s="2"/>
      <c r="E12">
        <f t="shared" si="0"/>
        <v>0</v>
      </c>
    </row>
    <row r="13" spans="1:5" ht="12.75">
      <c r="A13" s="5" t="s">
        <v>177</v>
      </c>
      <c r="B13" s="2"/>
      <c r="E13">
        <f t="shared" si="0"/>
        <v>0</v>
      </c>
    </row>
    <row r="14" spans="1:5" ht="12.75">
      <c r="A14" s="52" t="str">
        <f>+INPUT!B194</f>
        <v>Prairie Dog Creek Near Woodruff</v>
      </c>
      <c r="B14" s="52">
        <f>+INPUT!C194</f>
        <v>3436</v>
      </c>
      <c r="C14">
        <v>1087.4502400000001</v>
      </c>
      <c r="D14">
        <v>147</v>
      </c>
      <c r="E14">
        <f t="shared" si="0"/>
        <v>147</v>
      </c>
    </row>
    <row r="15" spans="1:5" ht="12.75">
      <c r="A15" s="52" t="str">
        <f>+INPUT!B222</f>
        <v>Keith Sebelius Lake Evaporation</v>
      </c>
      <c r="B15" s="52">
        <f>+INPUT!C222</f>
        <v>1727.0067916666667</v>
      </c>
      <c r="C15">
        <v>2823</v>
      </c>
      <c r="D15">
        <v>2088.8</v>
      </c>
      <c r="E15">
        <f t="shared" si="0"/>
        <v>2088.8</v>
      </c>
    </row>
    <row r="16" spans="1:5" ht="12.75">
      <c r="A16" s="52" t="str">
        <f>+INPUT!B223</f>
        <v>Keith Sebelius Lake Change In Storage</v>
      </c>
      <c r="B16" s="52">
        <f>+INPUT!C223</f>
        <v>100.00000000000142</v>
      </c>
      <c r="C16">
        <v>-4338</v>
      </c>
      <c r="D16">
        <v>-1000</v>
      </c>
      <c r="E16">
        <f t="shared" si="0"/>
        <v>-1000</v>
      </c>
    </row>
    <row r="17" spans="1:5" ht="12.75">
      <c r="A17" s="127" t="str">
        <f>+INPUT!B245</f>
        <v>Almena Canal Diversions</v>
      </c>
      <c r="B17" s="127">
        <f>+INPUT!C245</f>
        <v>0</v>
      </c>
      <c r="C17">
        <v>3379</v>
      </c>
      <c r="D17">
        <v>0</v>
      </c>
      <c r="E17">
        <f t="shared" si="0"/>
        <v>0</v>
      </c>
    </row>
    <row r="18" spans="1:5" ht="12.75">
      <c r="A18" s="127" t="str">
        <f>+INPUT!B131</f>
        <v>SW Diversions - Irrigation - Non-Federal Canals- Kansas</v>
      </c>
      <c r="B18" s="127">
        <f>+INPUT!C131</f>
        <v>0</v>
      </c>
      <c r="C18">
        <v>0</v>
      </c>
      <c r="D18">
        <v>0</v>
      </c>
      <c r="E18">
        <f t="shared" si="0"/>
        <v>0</v>
      </c>
    </row>
    <row r="19" spans="1:5" ht="12.75">
      <c r="A19" s="127" t="str">
        <f>+INPUT!B132</f>
        <v>SW Diversions - Irrigation - Small Pumps - Kansas</v>
      </c>
      <c r="B19" s="127">
        <f>+INPUT!C132</f>
        <v>159</v>
      </c>
      <c r="C19">
        <v>273</v>
      </c>
      <c r="D19">
        <v>87</v>
      </c>
      <c r="E19">
        <f t="shared" si="0"/>
        <v>87</v>
      </c>
    </row>
    <row r="20" spans="1:5" ht="12.75">
      <c r="A20" s="127" t="str">
        <f>+INPUT!B133</f>
        <v>SW Diversions - M&amp;I - Kansas</v>
      </c>
      <c r="B20" s="127">
        <f>+INPUT!C133</f>
        <v>382</v>
      </c>
      <c r="C20">
        <v>548</v>
      </c>
      <c r="D20">
        <v>496</v>
      </c>
      <c r="E20">
        <f t="shared" si="0"/>
        <v>496</v>
      </c>
    </row>
    <row r="21" spans="1:5" ht="12.75">
      <c r="A21" s="127" t="str">
        <f>+INPUT!B134</f>
        <v>SW Diversions - Irrigation - Non-Federal Canals - Nebraska -Below Gage</v>
      </c>
      <c r="B21" s="127">
        <f>+INPUT!C134</f>
        <v>0</v>
      </c>
      <c r="C21">
        <v>0</v>
      </c>
      <c r="D21">
        <v>0</v>
      </c>
      <c r="E21">
        <f t="shared" si="0"/>
        <v>0</v>
      </c>
    </row>
    <row r="22" spans="1:5" ht="12.75">
      <c r="A22" s="127" t="str">
        <f>+INPUT!B135</f>
        <v>SW Diversions - Irrigation - Small Pumps -Nebraska - Below Gage</v>
      </c>
      <c r="B22" s="127">
        <f>+INPUT!C135</f>
        <v>21</v>
      </c>
      <c r="C22">
        <v>59.2</v>
      </c>
      <c r="D22">
        <v>44.3</v>
      </c>
      <c r="E22">
        <f t="shared" si="0"/>
        <v>44.3</v>
      </c>
    </row>
    <row r="23" spans="1:5" ht="12.75">
      <c r="A23" s="127" t="str">
        <f>+INPUT!B136</f>
        <v>SW Diversions - M&amp;I - Nebraska - Below Gage</v>
      </c>
      <c r="B23" s="127">
        <f>+INPUT!C136</f>
        <v>0</v>
      </c>
      <c r="C23">
        <v>0</v>
      </c>
      <c r="D23">
        <v>0</v>
      </c>
      <c r="E23">
        <f t="shared" si="0"/>
        <v>0</v>
      </c>
    </row>
    <row r="24" spans="1:5" ht="12.75">
      <c r="A24" s="127" t="str">
        <f>+INPUT!B176</f>
        <v>Non-Federal Reservoir Evaporation - Kansas</v>
      </c>
      <c r="B24" s="127">
        <f>+INPUT!C176</f>
        <v>371.1</v>
      </c>
      <c r="C24">
        <v>0</v>
      </c>
      <c r="D24">
        <v>371.1</v>
      </c>
      <c r="E24">
        <f t="shared" si="0"/>
        <v>371.1</v>
      </c>
    </row>
    <row r="25" spans="1:5" ht="12.75">
      <c r="A25" s="127" t="str">
        <f>+INPUT!B177</f>
        <v>Non-Federal Reservoir Evaporation - Nebraska</v>
      </c>
      <c r="B25" s="127">
        <f>+INPUT!C177</f>
        <v>21.2</v>
      </c>
      <c r="C25">
        <v>0</v>
      </c>
      <c r="D25">
        <v>17.4</v>
      </c>
      <c r="E25">
        <f t="shared" si="0"/>
        <v>17.4</v>
      </c>
    </row>
    <row r="26" spans="1:5" ht="12.75">
      <c r="A26" s="127" t="str">
        <f>+INPUT!B210</f>
        <v>Prairie Dog Flood Flow</v>
      </c>
      <c r="B26" s="127">
        <f>+INPUT!C210</f>
        <v>0</v>
      </c>
      <c r="C26">
        <v>0</v>
      </c>
      <c r="D26">
        <v>0</v>
      </c>
      <c r="E26">
        <f t="shared" si="0"/>
        <v>0</v>
      </c>
    </row>
    <row r="27" spans="1:5" ht="12.75">
      <c r="A27" s="128" t="s">
        <v>81</v>
      </c>
      <c r="B27" s="102"/>
      <c r="E27">
        <f t="shared" si="0"/>
        <v>0</v>
      </c>
    </row>
    <row r="28" spans="1:5" ht="15.75">
      <c r="A28" s="129" t="s">
        <v>258</v>
      </c>
      <c r="B28" s="117"/>
      <c r="E28">
        <f t="shared" si="0"/>
        <v>0</v>
      </c>
    </row>
    <row r="29" spans="1:5" ht="12.75">
      <c r="A29" s="110" t="s">
        <v>0</v>
      </c>
      <c r="B29" s="111"/>
      <c r="E29">
        <f t="shared" si="0"/>
        <v>0</v>
      </c>
    </row>
    <row r="30" spans="1:5" ht="12.75">
      <c r="A30" s="111" t="str">
        <f>'NORTH FORK'!A38</f>
        <v>GW CBCU</v>
      </c>
      <c r="B30" s="111">
        <f>+B6</f>
        <v>0</v>
      </c>
      <c r="C30">
        <v>0</v>
      </c>
      <c r="D30">
        <v>0</v>
      </c>
      <c r="E30">
        <f t="shared" si="0"/>
        <v>0</v>
      </c>
    </row>
    <row r="31" spans="1:5" ht="12.75">
      <c r="A31" s="111" t="str">
        <f>'NORTH FORK'!A39</f>
        <v>Total CBCU</v>
      </c>
      <c r="B31" s="113">
        <f>(ROUND(SUM(B30:B30),-1))</f>
        <v>0</v>
      </c>
      <c r="C31">
        <v>0</v>
      </c>
      <c r="D31">
        <v>0</v>
      </c>
      <c r="E31">
        <f t="shared" si="0"/>
        <v>0</v>
      </c>
    </row>
    <row r="32" spans="1:5" ht="12.75">
      <c r="A32" s="111" t="s">
        <v>81</v>
      </c>
      <c r="B32" s="111"/>
      <c r="E32">
        <f t="shared" si="0"/>
        <v>0</v>
      </c>
    </row>
    <row r="33" spans="1:5" ht="12.75">
      <c r="A33" s="110" t="s">
        <v>178</v>
      </c>
      <c r="B33" s="111"/>
      <c r="E33">
        <f t="shared" si="0"/>
        <v>0</v>
      </c>
    </row>
    <row r="34" spans="1:5" ht="12.75">
      <c r="A34" s="111" t="str">
        <f>(LEFT(A17,13))&amp;" "&amp;"CBCU"</f>
        <v>Almena Canal  CBCU</v>
      </c>
      <c r="B34" s="111">
        <f>+B17*(1-B11)</f>
        <v>0</v>
      </c>
      <c r="C34">
        <v>1621.92</v>
      </c>
      <c r="D34">
        <v>0</v>
      </c>
      <c r="E34">
        <f t="shared" si="0"/>
        <v>0</v>
      </c>
    </row>
    <row r="35" spans="1:5" ht="12.75">
      <c r="A35" s="111" t="str">
        <f>'NORTH FORK'!A23</f>
        <v>SW CBCU - Irrigation - Non Federal Canals</v>
      </c>
      <c r="B35" s="111">
        <f>+B18*CanalCUPercent</f>
        <v>0</v>
      </c>
      <c r="C35">
        <v>0</v>
      </c>
      <c r="D35">
        <v>0</v>
      </c>
      <c r="E35">
        <f t="shared" si="0"/>
        <v>0</v>
      </c>
    </row>
    <row r="36" spans="1:5" ht="12.75">
      <c r="A36" s="111" t="str">
        <f>'NORTH FORK'!A24</f>
        <v>SW CBCU - Irrigation - Small Pumps</v>
      </c>
      <c r="B36" s="111">
        <f>+B19*PumperCUPercent</f>
        <v>119.25</v>
      </c>
      <c r="C36">
        <v>204.75</v>
      </c>
      <c r="D36">
        <v>65.25</v>
      </c>
      <c r="E36">
        <f t="shared" si="0"/>
        <v>65.25</v>
      </c>
    </row>
    <row r="37" spans="1:5" ht="12.75">
      <c r="A37" s="111" t="str">
        <f>'NORTH FORK'!A25</f>
        <v>SW CBCU - M&amp;I</v>
      </c>
      <c r="B37" s="111">
        <f>+B20*MI_CUPercent</f>
        <v>191</v>
      </c>
      <c r="C37">
        <v>274</v>
      </c>
      <c r="D37">
        <v>248</v>
      </c>
      <c r="E37">
        <f t="shared" si="0"/>
        <v>248</v>
      </c>
    </row>
    <row r="38" spans="1:5" ht="12.75">
      <c r="A38" s="111" t="str">
        <f>A15</f>
        <v>Keith Sebelius Lake Evaporation</v>
      </c>
      <c r="B38" s="130">
        <f>+B15</f>
        <v>1727.0067916666667</v>
      </c>
      <c r="C38">
        <v>2823</v>
      </c>
      <c r="D38">
        <v>2088.8</v>
      </c>
      <c r="E38">
        <f t="shared" si="0"/>
        <v>2088.8</v>
      </c>
    </row>
    <row r="39" spans="1:5" ht="12.75">
      <c r="A39" s="114" t="str">
        <f>'NORTH FORK'!A26</f>
        <v>Non-Federal Reservoir Evaporation</v>
      </c>
      <c r="B39" s="114">
        <f>B24</f>
        <v>371.1</v>
      </c>
      <c r="C39">
        <v>0</v>
      </c>
      <c r="D39">
        <v>371.1</v>
      </c>
      <c r="E39">
        <f t="shared" si="0"/>
        <v>371.1</v>
      </c>
    </row>
    <row r="40" spans="1:5" ht="12.75">
      <c r="A40" s="114" t="str">
        <f>'NORTH FORK'!A27</f>
        <v>SW CBCU</v>
      </c>
      <c r="B40" s="130">
        <f>B34+B35+B36+B37+B38+B39</f>
        <v>2408.3567916666666</v>
      </c>
      <c r="C40">
        <v>4923.67</v>
      </c>
      <c r="D40">
        <v>2773.15</v>
      </c>
      <c r="E40">
        <f t="shared" si="0"/>
        <v>2773.15</v>
      </c>
    </row>
    <row r="41" spans="1:5" ht="12.75">
      <c r="A41" s="114" t="str">
        <f>'NORTH FORK'!A28</f>
        <v>GW CBCU</v>
      </c>
      <c r="B41" s="113">
        <f>+B7</f>
        <v>5775</v>
      </c>
      <c r="C41">
        <v>1679</v>
      </c>
      <c r="D41">
        <v>1824</v>
      </c>
      <c r="E41">
        <f t="shared" si="0"/>
        <v>1824</v>
      </c>
    </row>
    <row r="42" spans="1:5" ht="12.75">
      <c r="A42" s="114" t="str">
        <f>'NORTH FORK'!A29</f>
        <v>Total CBCU</v>
      </c>
      <c r="B42" s="113">
        <f>(ROUND(SUM(B40:B41),-1))</f>
        <v>8180</v>
      </c>
      <c r="C42">
        <v>6600</v>
      </c>
      <c r="D42">
        <v>4600</v>
      </c>
      <c r="E42">
        <f t="shared" si="0"/>
        <v>4600</v>
      </c>
    </row>
    <row r="43" spans="1:5" ht="12.75">
      <c r="A43" s="111" t="s">
        <v>81</v>
      </c>
      <c r="B43" s="111"/>
      <c r="E43">
        <f t="shared" si="0"/>
        <v>0</v>
      </c>
    </row>
    <row r="44" spans="1:5" ht="12.75">
      <c r="A44" s="110" t="s">
        <v>1</v>
      </c>
      <c r="B44" s="111"/>
      <c r="E44">
        <f t="shared" si="0"/>
        <v>0</v>
      </c>
    </row>
    <row r="45" spans="1:5" ht="12.75">
      <c r="A45" s="114" t="s">
        <v>234</v>
      </c>
      <c r="B45" s="111">
        <f>B21*CanalCUPercent</f>
        <v>0</v>
      </c>
      <c r="C45">
        <v>0</v>
      </c>
      <c r="D45">
        <v>0</v>
      </c>
      <c r="E45">
        <f t="shared" si="0"/>
        <v>0</v>
      </c>
    </row>
    <row r="46" spans="1:5" ht="12.75">
      <c r="A46" s="114" t="s">
        <v>447</v>
      </c>
      <c r="B46" s="111">
        <f>B22*PumperCUPercent</f>
        <v>15.75</v>
      </c>
      <c r="C46">
        <v>44.4</v>
      </c>
      <c r="D46">
        <v>33.225</v>
      </c>
      <c r="E46">
        <f t="shared" si="0"/>
        <v>33.225</v>
      </c>
    </row>
    <row r="47" spans="1:5" ht="12.75">
      <c r="A47" s="114" t="s">
        <v>192</v>
      </c>
      <c r="B47" s="111">
        <f>B23*MI_CUPercent</f>
        <v>0</v>
      </c>
      <c r="C47">
        <v>0</v>
      </c>
      <c r="D47">
        <v>0</v>
      </c>
      <c r="E47">
        <f t="shared" si="0"/>
        <v>0</v>
      </c>
    </row>
    <row r="48" spans="1:5" ht="12.75">
      <c r="A48" s="114" t="str">
        <f>'NORTH FORK'!A26</f>
        <v>Non-Federal Reservoir Evaporation</v>
      </c>
      <c r="B48" s="114">
        <f>B25</f>
        <v>21.2</v>
      </c>
      <c r="C48">
        <v>0</v>
      </c>
      <c r="D48">
        <v>17.4</v>
      </c>
      <c r="E48">
        <f t="shared" si="0"/>
        <v>17.4</v>
      </c>
    </row>
    <row r="49" spans="1:5" ht="12.75">
      <c r="A49" s="114" t="str">
        <f>'NORTH FORK'!A27</f>
        <v>SW CBCU</v>
      </c>
      <c r="B49" s="130">
        <f>B45+B46+B47+B48</f>
        <v>36.95</v>
      </c>
      <c r="C49">
        <v>44.4</v>
      </c>
      <c r="D49">
        <v>50.625</v>
      </c>
      <c r="E49">
        <f t="shared" si="0"/>
        <v>50.625</v>
      </c>
    </row>
    <row r="50" spans="1:5" ht="12.75">
      <c r="A50" s="114" t="str">
        <f>'NORTH FORK'!A28</f>
        <v>GW CBCU</v>
      </c>
      <c r="B50" s="114">
        <f>+B8</f>
        <v>0</v>
      </c>
      <c r="C50">
        <v>0</v>
      </c>
      <c r="D50">
        <v>0</v>
      </c>
      <c r="E50">
        <f t="shared" si="0"/>
        <v>0</v>
      </c>
    </row>
    <row r="51" spans="1:5" ht="12.75">
      <c r="A51" s="114" t="str">
        <f>'NORTH FORK'!A29</f>
        <v>Total CBCU</v>
      </c>
      <c r="B51" s="113">
        <f>(ROUND(SUM(B49:B50),-1))</f>
        <v>40</v>
      </c>
      <c r="C51">
        <v>40</v>
      </c>
      <c r="D51">
        <v>50</v>
      </c>
      <c r="E51">
        <f t="shared" si="0"/>
        <v>50</v>
      </c>
    </row>
    <row r="52" spans="1:5" ht="12.75">
      <c r="A52" s="114" t="s">
        <v>81</v>
      </c>
      <c r="B52" s="111"/>
      <c r="E52">
        <f t="shared" si="0"/>
        <v>0</v>
      </c>
    </row>
    <row r="53" spans="1:5" ht="12.75">
      <c r="A53" s="115" t="s">
        <v>358</v>
      </c>
      <c r="B53" s="111"/>
      <c r="E53">
        <f t="shared" si="0"/>
        <v>0</v>
      </c>
    </row>
    <row r="54" spans="1:5" ht="12.75">
      <c r="A54" s="111" t="s">
        <v>244</v>
      </c>
      <c r="B54" s="130">
        <f>B45+B46+B47+B48</f>
        <v>36.95</v>
      </c>
      <c r="C54">
        <v>44.4</v>
      </c>
      <c r="D54">
        <v>50.625</v>
      </c>
      <c r="E54">
        <f t="shared" si="0"/>
        <v>50.625</v>
      </c>
    </row>
    <row r="55" spans="1:5" ht="12.75">
      <c r="A55" s="114" t="s">
        <v>218</v>
      </c>
      <c r="B55" s="113">
        <f>SUM(B54:B54)</f>
        <v>36.95</v>
      </c>
      <c r="C55">
        <v>44.4</v>
      </c>
      <c r="D55">
        <v>50.625</v>
      </c>
      <c r="E55">
        <f t="shared" si="0"/>
        <v>50.625</v>
      </c>
    </row>
    <row r="56" spans="1:5" ht="12.75">
      <c r="A56" s="114" t="s">
        <v>81</v>
      </c>
      <c r="B56" s="111"/>
      <c r="E56">
        <f t="shared" si="0"/>
        <v>0</v>
      </c>
    </row>
    <row r="57" spans="1:5" ht="12.75">
      <c r="A57" s="115" t="s">
        <v>179</v>
      </c>
      <c r="B57" s="111"/>
      <c r="E57">
        <f t="shared" si="0"/>
        <v>0</v>
      </c>
    </row>
    <row r="58" spans="1:5" ht="12.75">
      <c r="A58" s="114" t="str">
        <f>'NORTH FORK'!A42</f>
        <v>Total SW CBCU</v>
      </c>
      <c r="B58" s="113">
        <f>+B40+B49</f>
        <v>2445.3067916666664</v>
      </c>
      <c r="C58">
        <v>4968.07</v>
      </c>
      <c r="D58">
        <v>2823.775</v>
      </c>
      <c r="E58">
        <f t="shared" si="0"/>
        <v>2823.775</v>
      </c>
    </row>
    <row r="59" spans="1:5" ht="12.75">
      <c r="A59" s="114" t="str">
        <f>'NORTH FORK'!A43</f>
        <v>Total GW CBCU</v>
      </c>
      <c r="B59" s="130">
        <f>+B30+B41+B50</f>
        <v>5775</v>
      </c>
      <c r="C59">
        <v>1679</v>
      </c>
      <c r="D59">
        <v>1824</v>
      </c>
      <c r="E59">
        <f t="shared" si="0"/>
        <v>1824</v>
      </c>
    </row>
    <row r="60" spans="1:5" ht="12.75">
      <c r="A60" s="114" t="str">
        <f>'NORTH FORK'!A44</f>
        <v>Total Basin CBCU</v>
      </c>
      <c r="B60" s="113">
        <f>SUM(B58:B59)</f>
        <v>8220.306791666666</v>
      </c>
      <c r="C60">
        <v>6647.07</v>
      </c>
      <c r="D60">
        <v>4647.775</v>
      </c>
      <c r="E60">
        <f t="shared" si="0"/>
        <v>4647.775</v>
      </c>
    </row>
    <row r="61" spans="1:5" ht="12.75">
      <c r="A61" s="114" t="s">
        <v>81</v>
      </c>
      <c r="B61" s="111"/>
      <c r="E61">
        <f t="shared" si="0"/>
        <v>0</v>
      </c>
    </row>
    <row r="62" spans="1:5" ht="15.75">
      <c r="A62" s="116" t="s">
        <v>10</v>
      </c>
      <c r="B62" s="117"/>
      <c r="E62">
        <f t="shared" si="0"/>
        <v>0</v>
      </c>
    </row>
    <row r="63" spans="1:5" ht="12.75">
      <c r="A63" s="118" t="str">
        <f>A14</f>
        <v>Prairie Dog Creek Near Woodruff</v>
      </c>
      <c r="B63" s="118">
        <f>B14</f>
        <v>3436</v>
      </c>
      <c r="C63">
        <v>1087.4502400000001</v>
      </c>
      <c r="D63">
        <v>147</v>
      </c>
      <c r="E63">
        <f t="shared" si="0"/>
        <v>147</v>
      </c>
    </row>
    <row r="64" spans="1:5" ht="12.75">
      <c r="A64" s="117" t="str">
        <f>'NORTH FORK'!A49</f>
        <v>Colorado CBCU</v>
      </c>
      <c r="B64" s="118">
        <f>+B31</f>
        <v>0</v>
      </c>
      <c r="C64">
        <v>0</v>
      </c>
      <c r="D64">
        <v>0</v>
      </c>
      <c r="E64">
        <f t="shared" si="0"/>
        <v>0</v>
      </c>
    </row>
    <row r="65" spans="1:5" ht="12.75">
      <c r="A65" s="117" t="str">
        <f>'NORTH FORK'!A50</f>
        <v>Kansas CBCU</v>
      </c>
      <c r="B65" s="131">
        <f>+B42</f>
        <v>8180</v>
      </c>
      <c r="C65">
        <v>6600</v>
      </c>
      <c r="D65">
        <v>4600</v>
      </c>
      <c r="E65">
        <f t="shared" si="0"/>
        <v>4600</v>
      </c>
    </row>
    <row r="66" spans="1:5" ht="12.75">
      <c r="A66" s="117" t="str">
        <f>'NORTH FORK'!A51</f>
        <v>Nebraska CBCU</v>
      </c>
      <c r="B66" s="132">
        <f>B51</f>
        <v>40</v>
      </c>
      <c r="C66">
        <v>40</v>
      </c>
      <c r="D66">
        <v>50</v>
      </c>
      <c r="E66">
        <f t="shared" si="0"/>
        <v>50</v>
      </c>
    </row>
    <row r="67" spans="1:5" ht="12.75">
      <c r="A67" s="117" t="s">
        <v>244</v>
      </c>
      <c r="B67" s="132">
        <f>B54</f>
        <v>36.95</v>
      </c>
      <c r="C67">
        <v>44.4</v>
      </c>
      <c r="D67">
        <v>50.625</v>
      </c>
      <c r="E67">
        <f t="shared" si="0"/>
        <v>50.625</v>
      </c>
    </row>
    <row r="68" spans="1:5" ht="12.75">
      <c r="A68" s="117" t="str">
        <f>A16</f>
        <v>Keith Sebelius Lake Change In Storage</v>
      </c>
      <c r="B68" s="119">
        <f>+B16</f>
        <v>100.00000000000142</v>
      </c>
      <c r="C68">
        <v>-4338</v>
      </c>
      <c r="D68">
        <v>-1000</v>
      </c>
      <c r="E68">
        <f t="shared" si="0"/>
        <v>-1000</v>
      </c>
    </row>
    <row r="69" spans="1:5" ht="12.75">
      <c r="A69" s="117" t="str">
        <f>'NORTH FORK'!A52</f>
        <v>Imported Water</v>
      </c>
      <c r="B69" s="119">
        <f>+B5</f>
        <v>0</v>
      </c>
      <c r="C69">
        <v>0</v>
      </c>
      <c r="D69">
        <v>0</v>
      </c>
      <c r="E69">
        <f t="shared" si="0"/>
        <v>0</v>
      </c>
    </row>
    <row r="70" spans="1:5" ht="12.75">
      <c r="A70" s="117" t="str">
        <f>'NORTH FORK'!A53</f>
        <v>Virgin Water Supply</v>
      </c>
      <c r="B70" s="132">
        <f>ROUND(SUM(B63:B66)+B68-B69-B67,-1)</f>
        <v>11720</v>
      </c>
      <c r="C70">
        <v>3350</v>
      </c>
      <c r="D70">
        <v>3750</v>
      </c>
      <c r="E70">
        <f t="shared" si="0"/>
        <v>3750</v>
      </c>
    </row>
    <row r="71" spans="1:5" ht="12.75">
      <c r="A71" s="117" t="str">
        <f>'NORTH FORK'!A54</f>
        <v>Adjustment For Flood Flows</v>
      </c>
      <c r="B71" s="119">
        <f>B26</f>
        <v>0</v>
      </c>
      <c r="C71">
        <v>0</v>
      </c>
      <c r="D71">
        <v>0</v>
      </c>
      <c r="E71">
        <f aca="true" t="shared" si="1" ref="E71:E83">D71</f>
        <v>0</v>
      </c>
    </row>
    <row r="72" spans="1:5" ht="12.75">
      <c r="A72" s="117" t="str">
        <f>'NORTH FORK'!A55</f>
        <v>Computed Water Supply</v>
      </c>
      <c r="B72" s="132">
        <f>ROUND(+B70-B71-B68,-1)</f>
        <v>11620</v>
      </c>
      <c r="C72">
        <v>7690</v>
      </c>
      <c r="D72">
        <v>4750</v>
      </c>
      <c r="E72">
        <f t="shared" si="1"/>
        <v>4750</v>
      </c>
    </row>
    <row r="73" spans="1:5" ht="12.75">
      <c r="A73" s="119" t="s">
        <v>81</v>
      </c>
      <c r="B73" s="119"/>
      <c r="E73">
        <f t="shared" si="1"/>
        <v>0</v>
      </c>
    </row>
    <row r="74" spans="1:5" ht="15.75">
      <c r="A74" s="116" t="s">
        <v>12</v>
      </c>
      <c r="B74" s="133"/>
      <c r="E74">
        <f t="shared" si="1"/>
        <v>0</v>
      </c>
    </row>
    <row r="75" spans="1:5" ht="12.75">
      <c r="A75" s="111" t="str">
        <f>'NORTH FORK'!A58</f>
        <v>Colorado Percent Of Allocation</v>
      </c>
      <c r="B75" s="134">
        <f>'T2'!D14</f>
        <v>0</v>
      </c>
      <c r="C75">
        <v>0</v>
      </c>
      <c r="D75">
        <v>0</v>
      </c>
      <c r="E75">
        <f t="shared" si="1"/>
        <v>0</v>
      </c>
    </row>
    <row r="76" spans="1:5" ht="12.75">
      <c r="A76" s="111" t="str">
        <f>'NORTH FORK'!A59</f>
        <v>Colorado Allocation</v>
      </c>
      <c r="B76" s="130">
        <f>ROUND(+B72*B75,-1)</f>
        <v>0</v>
      </c>
      <c r="C76">
        <v>0</v>
      </c>
      <c r="D76">
        <v>0</v>
      </c>
      <c r="E76">
        <f t="shared" si="1"/>
        <v>0</v>
      </c>
    </row>
    <row r="77" spans="1:5" ht="12.75">
      <c r="A77" s="111" t="str">
        <f>'NORTH FORK'!A60</f>
        <v>Kansas Percent Of Allocation</v>
      </c>
      <c r="B77" s="134">
        <f>'T2'!F14</f>
        <v>0.457</v>
      </c>
      <c r="C77">
        <v>0.457</v>
      </c>
      <c r="D77">
        <v>0.457</v>
      </c>
      <c r="E77">
        <f t="shared" si="1"/>
        <v>0.457</v>
      </c>
    </row>
    <row r="78" spans="1:5" ht="12.75">
      <c r="A78" s="111" t="str">
        <f>'NORTH FORK'!A61</f>
        <v>Kansas Allocation</v>
      </c>
      <c r="B78" s="130">
        <f>ROUND(B72*B77,-1)</f>
        <v>5310</v>
      </c>
      <c r="C78">
        <v>3510</v>
      </c>
      <c r="D78">
        <v>2170</v>
      </c>
      <c r="E78">
        <f t="shared" si="1"/>
        <v>2170</v>
      </c>
    </row>
    <row r="79" spans="1:5" ht="12.75">
      <c r="A79" s="111" t="str">
        <f>'NORTH FORK'!A62</f>
        <v>Nebraska Percent Of Allocation</v>
      </c>
      <c r="B79" s="134">
        <f>'T2'!H14</f>
        <v>0.076</v>
      </c>
      <c r="C79">
        <v>0.076</v>
      </c>
      <c r="D79">
        <v>0.076</v>
      </c>
      <c r="E79">
        <f t="shared" si="1"/>
        <v>0.076</v>
      </c>
    </row>
    <row r="80" spans="1:5" ht="12.75">
      <c r="A80" s="2" t="str">
        <f>'NORTH FORK'!A63</f>
        <v>Nebraska Allocation</v>
      </c>
      <c r="B80" s="29">
        <f>ROUND(B72*B79,-1)</f>
        <v>880</v>
      </c>
      <c r="C80">
        <v>580</v>
      </c>
      <c r="D80">
        <v>360</v>
      </c>
      <c r="E80">
        <f t="shared" si="1"/>
        <v>360</v>
      </c>
    </row>
    <row r="81" spans="1:5" ht="12.75">
      <c r="A81" s="2" t="str">
        <f>'NORTH FORK'!A64</f>
        <v>Total Basin Allocation</v>
      </c>
      <c r="B81" s="29">
        <f>+B76+B78+B80</f>
        <v>6190</v>
      </c>
      <c r="C81">
        <v>4090</v>
      </c>
      <c r="D81">
        <v>2530</v>
      </c>
      <c r="E81">
        <f t="shared" si="1"/>
        <v>2530</v>
      </c>
    </row>
    <row r="82" spans="1:5" ht="12.75">
      <c r="A82" s="2" t="str">
        <f>'NORTH FORK'!A65</f>
        <v>Percent Of Supply Not Allocated</v>
      </c>
      <c r="B82" s="72">
        <f>'T2'!J14</f>
        <v>0.467</v>
      </c>
      <c r="C82">
        <v>0.467</v>
      </c>
      <c r="D82">
        <v>0.467</v>
      </c>
      <c r="E82">
        <f t="shared" si="1"/>
        <v>0.467</v>
      </c>
    </row>
    <row r="83" spans="1:5" ht="12.75">
      <c r="A83" s="2" t="str">
        <f>'NORTH FORK'!A66</f>
        <v>Quantity Of Unallocated Supply</v>
      </c>
      <c r="B83" s="29">
        <f>+B72-B76-B78-B80</f>
        <v>5430</v>
      </c>
      <c r="C83">
        <v>3600</v>
      </c>
      <c r="D83">
        <v>2220</v>
      </c>
      <c r="E83">
        <f t="shared" si="1"/>
        <v>2220</v>
      </c>
    </row>
  </sheetData>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1" max="2"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A1:G198"/>
  <sheetViews>
    <sheetView workbookViewId="0" topLeftCell="A1">
      <pane xSplit="1" ySplit="1" topLeftCell="B53" activePane="bottomRight" state="frozen"/>
      <selection pane="topLeft" activeCell="F7" sqref="F7"/>
      <selection pane="topRight" activeCell="F7" sqref="F7"/>
      <selection pane="bottomLeft" activeCell="F7" sqref="F7"/>
      <selection pane="bottomRight" activeCell="B2" sqref="B2"/>
    </sheetView>
  </sheetViews>
  <sheetFormatPr defaultColWidth="9.140625" defaultRowHeight="12.75"/>
  <cols>
    <col min="1" max="1" width="91.57421875" style="0" customWidth="1"/>
    <col min="2" max="2" width="7.57421875" style="50" customWidth="1"/>
  </cols>
  <sheetData>
    <row r="1" spans="1:7" ht="15.75">
      <c r="A1" s="59" t="s">
        <v>195</v>
      </c>
      <c r="B1" s="214">
        <f>INPUT!C1</f>
        <v>2005</v>
      </c>
      <c r="C1">
        <v>2003</v>
      </c>
      <c r="D1">
        <v>2004</v>
      </c>
      <c r="E1" s="309">
        <v>2005</v>
      </c>
      <c r="F1" s="309">
        <v>2006</v>
      </c>
      <c r="G1" s="309">
        <v>2007</v>
      </c>
    </row>
    <row r="2" ht="12.75"/>
    <row r="3" ht="15.75">
      <c r="A3" s="10" t="s">
        <v>174</v>
      </c>
    </row>
    <row r="4" ht="12.75">
      <c r="A4" s="8" t="s">
        <v>175</v>
      </c>
    </row>
    <row r="5" spans="1:5" ht="12.75">
      <c r="A5" s="58" t="str">
        <f>+INPUT!B58</f>
        <v>Imported Water Nebraska Above Guide Rock</v>
      </c>
      <c r="B5" s="58">
        <f>+INPUT!C58</f>
        <v>2297</v>
      </c>
      <c r="C5">
        <v>337</v>
      </c>
      <c r="D5">
        <v>834</v>
      </c>
      <c r="E5">
        <f>D5</f>
        <v>834</v>
      </c>
    </row>
    <row r="6" spans="1:5" ht="12.75">
      <c r="A6" s="58" t="str">
        <f>+INPUT!B40</f>
        <v>GW CBCU Colorado</v>
      </c>
      <c r="B6" s="58">
        <f>+INPUT!C40</f>
        <v>-1954</v>
      </c>
      <c r="C6">
        <v>132</v>
      </c>
      <c r="D6">
        <v>-1269</v>
      </c>
      <c r="E6">
        <f>D6</f>
        <v>-1269</v>
      </c>
    </row>
    <row r="7" spans="1:5" ht="12.75">
      <c r="A7" s="58" t="str">
        <f>+INPUT!B41</f>
        <v>GW CBCU Kansas</v>
      </c>
      <c r="B7" s="58">
        <f>+INPUT!C41</f>
        <v>271</v>
      </c>
      <c r="C7">
        <v>110</v>
      </c>
      <c r="D7">
        <v>399</v>
      </c>
      <c r="E7">
        <f aca="true" t="shared" si="0" ref="E7:E69">D7</f>
        <v>399</v>
      </c>
    </row>
    <row r="8" spans="1:5" ht="12.75">
      <c r="A8" s="58" t="str">
        <f>+INPUT!B42</f>
        <v>GW CBCU Nebraska Above Guide Rock</v>
      </c>
      <c r="B8" s="58">
        <f>+INPUT!C42</f>
        <v>81100</v>
      </c>
      <c r="C8">
        <v>74323</v>
      </c>
      <c r="D8">
        <v>78183</v>
      </c>
      <c r="E8">
        <f t="shared" si="0"/>
        <v>78183</v>
      </c>
    </row>
    <row r="9" spans="1:5" ht="12.75">
      <c r="A9" s="58" t="str">
        <f>+INPUT!B43</f>
        <v>GW CBCU Nebraska Below Guide Rock</v>
      </c>
      <c r="B9" s="58">
        <f>+INPUT!C43</f>
        <v>2956</v>
      </c>
      <c r="C9">
        <v>2559</v>
      </c>
      <c r="D9">
        <v>2382</v>
      </c>
      <c r="E9">
        <f t="shared" si="0"/>
        <v>2382</v>
      </c>
    </row>
    <row r="10" spans="1:5" ht="12" customHeight="1">
      <c r="A10" s="52" t="s">
        <v>214</v>
      </c>
      <c r="B10" s="58">
        <f>+B8+B9</f>
        <v>84056</v>
      </c>
      <c r="C10">
        <v>76882</v>
      </c>
      <c r="D10">
        <v>80565</v>
      </c>
      <c r="E10">
        <f t="shared" si="0"/>
        <v>80565</v>
      </c>
    </row>
    <row r="11" spans="1:5" ht="12" customHeight="1">
      <c r="A11" s="9"/>
      <c r="B11" s="29"/>
      <c r="E11">
        <f t="shared" si="0"/>
        <v>0</v>
      </c>
    </row>
    <row r="12" spans="1:5" ht="12" customHeight="1">
      <c r="A12" s="5" t="s">
        <v>209</v>
      </c>
      <c r="B12" s="29"/>
      <c r="E12">
        <f t="shared" si="0"/>
        <v>0</v>
      </c>
    </row>
    <row r="13" spans="1:5" ht="12" customHeight="1">
      <c r="A13" s="57" t="str">
        <f>+INPUT!B242</f>
        <v>Meeker-Driftwood Canal % Return Flow</v>
      </c>
      <c r="B13" s="57">
        <f>+INPUT!C242</f>
        <v>1</v>
      </c>
      <c r="C13">
        <v>1</v>
      </c>
      <c r="D13">
        <v>1</v>
      </c>
      <c r="E13">
        <f t="shared" si="0"/>
        <v>1</v>
      </c>
    </row>
    <row r="14" spans="1:5" ht="12" customHeight="1">
      <c r="A14" s="52" t="str">
        <f>+INPUT!B239</f>
        <v>Culbertson Canal % Return Flow</v>
      </c>
      <c r="B14" s="160">
        <f>+INPUT!C239</f>
        <v>0.7808994209082596</v>
      </c>
      <c r="C14">
        <v>0.56</v>
      </c>
      <c r="D14">
        <v>0.658467373760664</v>
      </c>
      <c r="E14">
        <f t="shared" si="0"/>
        <v>0.658467373760664</v>
      </c>
    </row>
    <row r="15" spans="1:5" ht="12" customHeight="1">
      <c r="A15" s="52" t="str">
        <f>+INPUT!B240</f>
        <v>Culbertson Canal Extension % Return Flow</v>
      </c>
      <c r="B15" s="160">
        <f>+INPUT!C240</f>
        <v>1</v>
      </c>
      <c r="C15">
        <v>1</v>
      </c>
      <c r="D15">
        <v>1</v>
      </c>
      <c r="E15">
        <f t="shared" si="0"/>
        <v>1</v>
      </c>
    </row>
    <row r="16" spans="1:5" ht="12" customHeight="1">
      <c r="A16" s="57" t="str">
        <f>+INPUT!B244</f>
        <v>Red Willow Canal % Return Flow</v>
      </c>
      <c r="B16" s="57">
        <f>+INPUT!C244</f>
        <v>1</v>
      </c>
      <c r="C16">
        <v>1</v>
      </c>
      <c r="D16">
        <v>1</v>
      </c>
      <c r="E16">
        <f t="shared" si="0"/>
        <v>1</v>
      </c>
    </row>
    <row r="17" spans="1:5" ht="12" customHeight="1">
      <c r="A17" s="57" t="str">
        <f>+INPUT!B248</f>
        <v>Bartley Canal % Return Flow</v>
      </c>
      <c r="B17" s="57">
        <f>+INPUT!C248</f>
        <v>1</v>
      </c>
      <c r="C17">
        <v>1</v>
      </c>
      <c r="D17">
        <v>1</v>
      </c>
      <c r="E17">
        <f t="shared" si="0"/>
        <v>1</v>
      </c>
    </row>
    <row r="18" spans="1:5" ht="12" customHeight="1">
      <c r="A18" s="57" t="str">
        <f>+INPUT!B250</f>
        <v>Cambridge Canal % Return Flow</v>
      </c>
      <c r="B18" s="57">
        <f>+INPUT!C250</f>
        <v>0.5361416987634299</v>
      </c>
      <c r="C18">
        <v>0.51</v>
      </c>
      <c r="D18">
        <v>0.5245849572026954</v>
      </c>
      <c r="E18">
        <f t="shared" si="0"/>
        <v>0.5245849572026954</v>
      </c>
    </row>
    <row r="19" spans="1:5" ht="12" customHeight="1">
      <c r="A19" s="137" t="str">
        <f>+INPUT!B252</f>
        <v>Naponee Canal % Return Flow</v>
      </c>
      <c r="B19" s="137">
        <f>+INPUT!C252</f>
        <v>1</v>
      </c>
      <c r="C19">
        <v>0.53</v>
      </c>
      <c r="D19">
        <v>1</v>
      </c>
      <c r="E19">
        <f t="shared" si="0"/>
        <v>1</v>
      </c>
    </row>
    <row r="20" spans="1:5" ht="12" customHeight="1">
      <c r="A20" s="137" t="str">
        <f>+INPUT!B254</f>
        <v>Franklin Canal % Return Flow</v>
      </c>
      <c r="B20" s="137">
        <f>+INPUT!C254</f>
        <v>1</v>
      </c>
      <c r="C20">
        <v>0.64</v>
      </c>
      <c r="D20">
        <v>1</v>
      </c>
      <c r="E20">
        <f t="shared" si="0"/>
        <v>1</v>
      </c>
    </row>
    <row r="21" spans="1:5" ht="12" customHeight="1">
      <c r="A21" s="137" t="str">
        <f>+INPUT!B256</f>
        <v>Franklin Pump Canal % Return Flow</v>
      </c>
      <c r="B21" s="137">
        <f>+INPUT!C256</f>
        <v>1</v>
      </c>
      <c r="C21">
        <v>0.57</v>
      </c>
      <c r="D21">
        <v>1</v>
      </c>
      <c r="E21">
        <f t="shared" si="0"/>
        <v>1</v>
      </c>
    </row>
    <row r="22" spans="1:5" ht="12" customHeight="1">
      <c r="A22" s="137" t="str">
        <f>+INPUT!B258</f>
        <v>Superior Canal % Return Flow</v>
      </c>
      <c r="B22" s="137">
        <f>+INPUT!C258</f>
        <v>0.6419266977928691</v>
      </c>
      <c r="C22">
        <v>0.57</v>
      </c>
      <c r="D22">
        <v>0.6778671379310345</v>
      </c>
      <c r="E22">
        <f t="shared" si="0"/>
        <v>0.6778671379310345</v>
      </c>
    </row>
    <row r="23" spans="1:5" ht="12" customHeight="1">
      <c r="A23" s="137" t="str">
        <f>INPUT!B262</f>
        <v>Nebraska Courtland % Return Flow</v>
      </c>
      <c r="B23" s="137">
        <f>INPUT!C262</f>
        <v>1</v>
      </c>
      <c r="C23">
        <v>0.3259126335637964</v>
      </c>
      <c r="D23">
        <v>1</v>
      </c>
      <c r="E23">
        <f t="shared" si="0"/>
        <v>1</v>
      </c>
    </row>
    <row r="24" spans="1:5" ht="12" customHeight="1">
      <c r="A24" s="137" t="str">
        <f>+INPUT!B267</f>
        <v>Courtland Canal Above Lovewell %  Return Flow</v>
      </c>
      <c r="B24" s="137">
        <f>+INPUT!C267</f>
        <v>0.629970278969957</v>
      </c>
      <c r="C24">
        <v>0.5180198161155845</v>
      </c>
      <c r="D24">
        <v>0.7921782129742961</v>
      </c>
      <c r="E24">
        <f t="shared" si="0"/>
        <v>0.7921782129742961</v>
      </c>
    </row>
    <row r="25" spans="1:5" ht="12" customHeight="1">
      <c r="A25" s="137" t="str">
        <f>+INPUT!B271</f>
        <v>Courtland Canal Below Lovewell % Return Flow</v>
      </c>
      <c r="B25" s="137">
        <f>+INPUT!C271</f>
        <v>0.5266655348047539</v>
      </c>
      <c r="C25">
        <v>0.4566515194068415</v>
      </c>
      <c r="D25">
        <v>0.49614925333510324</v>
      </c>
      <c r="E25">
        <f t="shared" si="0"/>
        <v>0.49614925333510324</v>
      </c>
    </row>
    <row r="26" spans="1:5" ht="12.75">
      <c r="A26" s="102"/>
      <c r="B26" s="109"/>
      <c r="E26">
        <f t="shared" si="0"/>
        <v>0</v>
      </c>
    </row>
    <row r="27" spans="1:5" ht="12.75">
      <c r="A27" s="115" t="s">
        <v>177</v>
      </c>
      <c r="B27" s="113"/>
      <c r="E27">
        <f t="shared" si="0"/>
        <v>0</v>
      </c>
    </row>
    <row r="28" spans="1:5" ht="12.75">
      <c r="A28" s="111" t="s">
        <v>196</v>
      </c>
      <c r="B28" s="113"/>
      <c r="E28">
        <f t="shared" si="0"/>
        <v>0</v>
      </c>
    </row>
    <row r="29" spans="1:5" ht="12.75">
      <c r="A29" s="138" t="str">
        <f>+INPUT!B196</f>
        <v>Republican River Near Hardy</v>
      </c>
      <c r="B29" s="138">
        <f>+INPUT!C196</f>
        <v>16980</v>
      </c>
      <c r="C29">
        <v>52394</v>
      </c>
      <c r="D29">
        <v>41964</v>
      </c>
      <c r="E29">
        <f t="shared" si="0"/>
        <v>41964</v>
      </c>
    </row>
    <row r="30" spans="1:5" ht="12.75">
      <c r="A30" s="138" t="str">
        <f>+INPUT!B183</f>
        <v>North Fork Republican River At Colorado-Nebraska State Line</v>
      </c>
      <c r="B30" s="138">
        <f>+INPUT!C183</f>
        <v>21060</v>
      </c>
      <c r="C30">
        <v>17700</v>
      </c>
      <c r="D30">
        <v>19759</v>
      </c>
      <c r="E30">
        <f t="shared" si="0"/>
        <v>19759</v>
      </c>
    </row>
    <row r="31" spans="1:5" ht="12.75">
      <c r="A31" s="138" t="str">
        <f>+INPUT!B184</f>
        <v>Arikaree River At Haigler</v>
      </c>
      <c r="B31" s="138">
        <f>+INPUT!C184</f>
        <v>1151</v>
      </c>
      <c r="C31">
        <v>1060</v>
      </c>
      <c r="D31">
        <v>341</v>
      </c>
      <c r="E31">
        <f t="shared" si="0"/>
        <v>341</v>
      </c>
    </row>
    <row r="32" spans="1:5" ht="12.75">
      <c r="A32" s="138" t="str">
        <f>+INPUT!B185</f>
        <v>Buffalo Creek Near Haigler</v>
      </c>
      <c r="B32" s="138">
        <f>+INPUT!C185</f>
        <v>2227</v>
      </c>
      <c r="C32">
        <v>2090</v>
      </c>
      <c r="D32">
        <v>2276</v>
      </c>
      <c r="E32">
        <f t="shared" si="0"/>
        <v>2276</v>
      </c>
    </row>
    <row r="33" spans="1:5" ht="12.75">
      <c r="A33" s="138" t="str">
        <f>+INPUT!B186</f>
        <v>Rock Creek At Parks</v>
      </c>
      <c r="B33" s="138">
        <f>+INPUT!C186</f>
        <v>5466</v>
      </c>
      <c r="C33">
        <v>4710</v>
      </c>
      <c r="D33">
        <v>5419</v>
      </c>
      <c r="E33">
        <f t="shared" si="0"/>
        <v>5419</v>
      </c>
    </row>
    <row r="34" spans="1:5" ht="12.75">
      <c r="A34" s="138" t="str">
        <f>+INPUT!B187</f>
        <v>South Fork Republican River Near Benkelman</v>
      </c>
      <c r="B34" s="138">
        <f>+INPUT!C187</f>
        <v>0</v>
      </c>
      <c r="C34">
        <v>905.35872</v>
      </c>
      <c r="D34">
        <v>0</v>
      </c>
      <c r="E34">
        <f t="shared" si="0"/>
        <v>0</v>
      </c>
    </row>
    <row r="35" spans="1:5" ht="12.75">
      <c r="A35" s="138" t="str">
        <f>+INPUT!B188</f>
        <v>Frenchman Creek At Culbertson</v>
      </c>
      <c r="B35" s="138">
        <f>+INPUT!C188</f>
        <v>23235</v>
      </c>
      <c r="C35">
        <v>13360</v>
      </c>
      <c r="D35">
        <v>19926</v>
      </c>
      <c r="E35">
        <f t="shared" si="0"/>
        <v>19926</v>
      </c>
    </row>
    <row r="36" spans="1:5" ht="12.75">
      <c r="A36" s="138" t="str">
        <f>+INPUT!B189</f>
        <v>Driftwood Creek Near McCook</v>
      </c>
      <c r="B36" s="138">
        <f>+INPUT!C189</f>
        <v>1911</v>
      </c>
      <c r="C36">
        <v>1100</v>
      </c>
      <c r="D36">
        <v>1201</v>
      </c>
      <c r="E36">
        <f t="shared" si="0"/>
        <v>1201</v>
      </c>
    </row>
    <row r="37" spans="1:5" ht="12.75">
      <c r="A37" s="138" t="str">
        <f>+INPUT!B190</f>
        <v>Red Willow Creek Near Red Willow</v>
      </c>
      <c r="B37" s="138">
        <f>+INPUT!C190</f>
        <v>3791</v>
      </c>
      <c r="C37">
        <v>3970</v>
      </c>
      <c r="D37">
        <v>3555</v>
      </c>
      <c r="E37">
        <f t="shared" si="0"/>
        <v>3555</v>
      </c>
    </row>
    <row r="38" spans="1:5" ht="12.75">
      <c r="A38" s="138" t="str">
        <f>+INPUT!B191</f>
        <v>Medicine Creek Below Harry Strunk</v>
      </c>
      <c r="B38" s="138">
        <f>+INPUT!C191</f>
        <v>19992</v>
      </c>
      <c r="C38">
        <v>19850</v>
      </c>
      <c r="D38">
        <v>23300</v>
      </c>
      <c r="E38">
        <f t="shared" si="0"/>
        <v>23300</v>
      </c>
    </row>
    <row r="39" spans="1:5" ht="12.75">
      <c r="A39" s="138" t="str">
        <f>+INPUT!B193</f>
        <v>Sappa Creek Near Stamford</v>
      </c>
      <c r="B39" s="138">
        <f>+INPUT!C193</f>
        <v>262</v>
      </c>
      <c r="C39">
        <v>179.11552</v>
      </c>
      <c r="D39">
        <v>84</v>
      </c>
      <c r="E39">
        <f t="shared" si="0"/>
        <v>84</v>
      </c>
    </row>
    <row r="40" spans="1:5" ht="12.75">
      <c r="A40" s="138" t="str">
        <f>+INPUT!B194</f>
        <v>Prairie Dog Creek Near Woodruff</v>
      </c>
      <c r="B40" s="138">
        <f>+INPUT!C194</f>
        <v>3436</v>
      </c>
      <c r="C40">
        <v>1087.4502400000001</v>
      </c>
      <c r="D40">
        <v>147</v>
      </c>
      <c r="E40">
        <f t="shared" si="0"/>
        <v>147</v>
      </c>
    </row>
    <row r="41" spans="1:5" ht="12.75">
      <c r="A41" s="139" t="s">
        <v>125</v>
      </c>
      <c r="B41" s="113"/>
      <c r="E41">
        <f t="shared" si="0"/>
        <v>0</v>
      </c>
    </row>
    <row r="42" spans="1:5" ht="12.75">
      <c r="A42" s="138" t="str">
        <f>+INPUT!B224</f>
        <v>Swanson Lake Evaporation</v>
      </c>
      <c r="B42" s="138">
        <f>+INPUT!C224</f>
        <v>5637.999291666667</v>
      </c>
      <c r="C42">
        <v>6086</v>
      </c>
      <c r="D42">
        <v>2588.2</v>
      </c>
      <c r="E42">
        <f t="shared" si="0"/>
        <v>2588.2</v>
      </c>
    </row>
    <row r="43" spans="1:5" ht="12.75">
      <c r="A43" s="138" t="str">
        <f>+INPUT!B225</f>
        <v>Swanson Lake Change In Storage</v>
      </c>
      <c r="B43" s="138">
        <f>+INPUT!C225</f>
        <v>4600</v>
      </c>
      <c r="C43">
        <v>4735</v>
      </c>
      <c r="D43">
        <v>3900</v>
      </c>
      <c r="E43">
        <f t="shared" si="0"/>
        <v>3900</v>
      </c>
    </row>
    <row r="44" spans="1:5" ht="12.75">
      <c r="A44" s="138" t="str">
        <f>+INPUT!B218</f>
        <v>Hugh Butler Lake Evaporation</v>
      </c>
      <c r="B44" s="138">
        <f>+INPUT!C218</f>
        <v>2230.2614166666667</v>
      </c>
      <c r="C44">
        <v>2377</v>
      </c>
      <c r="D44">
        <v>2025.5</v>
      </c>
      <c r="E44">
        <f t="shared" si="0"/>
        <v>2025.5</v>
      </c>
    </row>
    <row r="45" spans="1:5" ht="12.75">
      <c r="A45" s="138" t="str">
        <f>+INPUT!B220</f>
        <v>Harry Strunk Lake Evaporation</v>
      </c>
      <c r="B45" s="138">
        <f>+INPUT!C220</f>
        <v>2771.705791666667</v>
      </c>
      <c r="C45">
        <v>3755</v>
      </c>
      <c r="D45">
        <v>2058.9</v>
      </c>
      <c r="E45">
        <f t="shared" si="0"/>
        <v>2058.9</v>
      </c>
    </row>
    <row r="46" spans="1:5" ht="12.75">
      <c r="A46" s="138" t="str">
        <f>+INPUT!B226</f>
        <v>Harlan County Evaporation</v>
      </c>
      <c r="B46" s="138">
        <f>+INPUT!C226</f>
        <v>17706.291625</v>
      </c>
      <c r="C46">
        <v>23664</v>
      </c>
      <c r="D46">
        <v>17017</v>
      </c>
      <c r="E46">
        <f t="shared" si="0"/>
        <v>17017</v>
      </c>
    </row>
    <row r="47" spans="1:5" ht="12.75">
      <c r="A47" s="138" t="str">
        <f>+INPUT!B227</f>
        <v>Harlan County Change In Storage</v>
      </c>
      <c r="B47" s="138">
        <f>+INPUT!C227</f>
        <v>21000</v>
      </c>
      <c r="C47">
        <v>-47110</v>
      </c>
      <c r="D47">
        <v>-6200</v>
      </c>
      <c r="E47">
        <f t="shared" si="0"/>
        <v>-6200</v>
      </c>
    </row>
    <row r="48" spans="1:5" ht="12.75">
      <c r="A48" s="138" t="str">
        <f>+INPUT!B228</f>
        <v>Lovewell Reservoir Ev charged to the Republican River </v>
      </c>
      <c r="B48" s="138">
        <f>+INPUT!C228</f>
        <v>2020</v>
      </c>
      <c r="C48">
        <v>670</v>
      </c>
      <c r="D48">
        <v>1110</v>
      </c>
      <c r="E48">
        <f t="shared" si="0"/>
        <v>1110</v>
      </c>
    </row>
    <row r="49" spans="1:5" ht="12.75">
      <c r="A49" s="139" t="s">
        <v>197</v>
      </c>
      <c r="B49" s="113"/>
      <c r="E49">
        <f t="shared" si="0"/>
        <v>0</v>
      </c>
    </row>
    <row r="50" spans="1:5" ht="12.75">
      <c r="A50" s="138" t="str">
        <f>+INPUT!B247</f>
        <v>Bartley Canal Diversion</v>
      </c>
      <c r="B50" s="138">
        <f>+INPUT!C247</f>
        <v>0</v>
      </c>
      <c r="C50">
        <v>0</v>
      </c>
      <c r="D50">
        <v>0</v>
      </c>
      <c r="E50">
        <f t="shared" si="0"/>
        <v>0</v>
      </c>
    </row>
    <row r="51" spans="1:5" ht="12.75">
      <c r="A51" s="138" t="str">
        <f>+INPUT!B249</f>
        <v>Cambridge Canal Diversion</v>
      </c>
      <c r="B51" s="138">
        <f>+INPUT!C249</f>
        <v>19732</v>
      </c>
      <c r="C51">
        <v>18332</v>
      </c>
      <c r="D51">
        <v>21964</v>
      </c>
      <c r="E51">
        <f t="shared" si="0"/>
        <v>21964</v>
      </c>
    </row>
    <row r="52" spans="1:5" ht="12.75">
      <c r="A52" s="138" t="str">
        <f>+INPUT!B251</f>
        <v>Naponee Canal Diversion</v>
      </c>
      <c r="B52" s="138">
        <f>+INPUT!C251</f>
        <v>0</v>
      </c>
      <c r="C52">
        <v>2162</v>
      </c>
      <c r="D52">
        <v>0</v>
      </c>
      <c r="E52">
        <f t="shared" si="0"/>
        <v>0</v>
      </c>
    </row>
    <row r="53" spans="1:5" ht="12.75">
      <c r="A53" s="138" t="str">
        <f>+INPUT!B253</f>
        <v>Franklin Canal Diversion</v>
      </c>
      <c r="B53" s="138">
        <f>+INPUT!C253</f>
        <v>0</v>
      </c>
      <c r="C53">
        <v>15262</v>
      </c>
      <c r="D53">
        <v>0</v>
      </c>
      <c r="E53">
        <f t="shared" si="0"/>
        <v>0</v>
      </c>
    </row>
    <row r="54" spans="1:5" ht="12.75">
      <c r="A54" s="138" t="str">
        <f>+INPUT!B255</f>
        <v>Franklin Pump Canal Diversions</v>
      </c>
      <c r="B54" s="138">
        <f>+INPUT!C255</f>
        <v>0</v>
      </c>
      <c r="C54">
        <v>1687</v>
      </c>
      <c r="D54">
        <v>0</v>
      </c>
      <c r="E54">
        <f t="shared" si="0"/>
        <v>0</v>
      </c>
    </row>
    <row r="55" spans="1:5" ht="12.75">
      <c r="A55" s="138" t="str">
        <f>+INPUT!B257</f>
        <v>Superior Canal Diversions</v>
      </c>
      <c r="B55" s="138">
        <f>+INPUT!C257</f>
        <v>4712</v>
      </c>
      <c r="C55">
        <v>8174</v>
      </c>
      <c r="D55">
        <v>5800</v>
      </c>
      <c r="E55">
        <f t="shared" si="0"/>
        <v>5800</v>
      </c>
    </row>
    <row r="56" spans="1:5" ht="12.75">
      <c r="A56" s="139"/>
      <c r="B56" s="113"/>
      <c r="E56">
        <f t="shared" si="0"/>
        <v>0</v>
      </c>
    </row>
    <row r="57" spans="1:5" ht="12.75">
      <c r="A57" s="138" t="str">
        <f>+INPUT!B260</f>
        <v>Courtland Canal Diversions At Headgate</v>
      </c>
      <c r="B57" s="138">
        <f>+INPUT!C260</f>
        <v>48737</v>
      </c>
      <c r="C57">
        <v>66500</v>
      </c>
      <c r="D57">
        <v>31501</v>
      </c>
      <c r="E57">
        <f t="shared" si="0"/>
        <v>31501</v>
      </c>
    </row>
    <row r="58" spans="1:5" ht="12.75">
      <c r="A58" s="138" t="str">
        <f>+INPUT!B261</f>
        <v>Diversions to Nebraska Courtland</v>
      </c>
      <c r="B58" s="138">
        <f>+INPUT!C261</f>
        <v>0</v>
      </c>
      <c r="C58">
        <v>1591</v>
      </c>
      <c r="D58">
        <v>0</v>
      </c>
      <c r="E58">
        <f t="shared" si="0"/>
        <v>0</v>
      </c>
    </row>
    <row r="59" spans="1:5" ht="12.75">
      <c r="A59" s="138" t="str">
        <f>INPUT!B263</f>
        <v>Courtland Canal, Loss in NE assigned to upper Courtland KS</v>
      </c>
      <c r="B59" s="138">
        <f>INPUT!C263</f>
        <v>415</v>
      </c>
      <c r="C59">
        <v>2841</v>
      </c>
      <c r="D59">
        <v>184</v>
      </c>
      <c r="E59">
        <f t="shared" si="0"/>
        <v>184</v>
      </c>
    </row>
    <row r="60" spans="1:5" ht="12.75">
      <c r="A60" s="138" t="str">
        <f>INPUT!B264</f>
        <v>Courtland Canal, Loss in NE assigned to delivery to Lovewell </v>
      </c>
      <c r="B60" s="138">
        <f>INPUT!C264</f>
        <v>8236</v>
      </c>
      <c r="C60">
        <v>10116</v>
      </c>
      <c r="D60">
        <v>5877</v>
      </c>
      <c r="E60">
        <f t="shared" si="0"/>
        <v>5877</v>
      </c>
    </row>
    <row r="61" spans="1:5" ht="12.75">
      <c r="A61" s="138" t="str">
        <f>+INPUT!B265</f>
        <v>Courtland Canal At Kansas-Nebraska State Line</v>
      </c>
      <c r="B61" s="138">
        <f>+INPUT!C265</f>
        <v>40086</v>
      </c>
      <c r="C61">
        <v>51952</v>
      </c>
      <c r="D61">
        <v>25440</v>
      </c>
      <c r="E61">
        <f t="shared" si="0"/>
        <v>25440</v>
      </c>
    </row>
    <row r="62" spans="1:5" ht="12.75">
      <c r="A62" s="138" t="str">
        <f>+INPUT!B266</f>
        <v>Courtland Canal Diversions to the Upper Courtland District</v>
      </c>
      <c r="B62" s="138">
        <f>+INPUT!C266</f>
        <v>1864</v>
      </c>
      <c r="C62">
        <v>17511</v>
      </c>
      <c r="D62">
        <v>779</v>
      </c>
      <c r="E62">
        <f t="shared" si="0"/>
        <v>779</v>
      </c>
    </row>
    <row r="63" spans="1:5" ht="12.75">
      <c r="A63" s="138" t="str">
        <f>+INPUT!B268</f>
        <v>Courtland Canal, Loss assigned to deliveries of water to Lovewell, Stateline to Lovewell</v>
      </c>
      <c r="B63" s="138">
        <f>+INPUT!C268</f>
        <v>9372</v>
      </c>
      <c r="C63">
        <v>10687</v>
      </c>
      <c r="D63">
        <v>10715</v>
      </c>
      <c r="E63">
        <f t="shared" si="0"/>
        <v>10715</v>
      </c>
    </row>
    <row r="64" spans="1:5" ht="12.75">
      <c r="A64" s="138" t="str">
        <f>+INPUT!B269</f>
        <v>Courtland Canal Deliveries To Lovewell Reservoir</v>
      </c>
      <c r="B64" s="138">
        <f>+INPUT!C269</f>
        <v>29265</v>
      </c>
      <c r="C64">
        <v>26596</v>
      </c>
      <c r="D64">
        <v>14130</v>
      </c>
      <c r="E64">
        <f t="shared" si="0"/>
        <v>14130</v>
      </c>
    </row>
    <row r="65" spans="1:5" ht="12.75">
      <c r="A65" s="138" t="str">
        <f>+INPUT!B270</f>
        <v>Diversions of Republican River water from Lovewell Reservoir to the Courtland Canal below Lovewell</v>
      </c>
      <c r="B65" s="138">
        <f>+INPUT!C270</f>
        <v>25590</v>
      </c>
      <c r="C65">
        <v>21270</v>
      </c>
      <c r="D65">
        <v>25590</v>
      </c>
      <c r="E65">
        <f t="shared" si="0"/>
        <v>25590</v>
      </c>
    </row>
    <row r="66" spans="1:5" ht="12.75">
      <c r="A66" s="161"/>
      <c r="B66" s="162"/>
      <c r="E66">
        <f t="shared" si="0"/>
        <v>0</v>
      </c>
    </row>
    <row r="67" spans="1:5" ht="12.75">
      <c r="A67" s="138" t="str">
        <f>+INPUT!B274</f>
        <v>Kansas Bostwick Diversions During Irrigation Season (2001-2003 average, no diversion in 2005)</v>
      </c>
      <c r="B67" s="138">
        <f>+INPUT!C274</f>
        <v>41081</v>
      </c>
      <c r="C67">
        <v>27100</v>
      </c>
      <c r="D67">
        <v>41081</v>
      </c>
      <c r="E67">
        <f t="shared" si="0"/>
        <v>41081</v>
      </c>
    </row>
    <row r="68" spans="1:5" ht="12.75">
      <c r="A68" s="140" t="s">
        <v>487</v>
      </c>
      <c r="B68" s="138">
        <f>INPUT!C275</f>
        <v>40187</v>
      </c>
      <c r="C68">
        <v>28844</v>
      </c>
      <c r="D68">
        <v>40187</v>
      </c>
      <c r="E68">
        <f t="shared" si="0"/>
        <v>40187</v>
      </c>
    </row>
    <row r="69" spans="1:5" ht="12.75">
      <c r="A69" s="138"/>
      <c r="B69" s="138"/>
      <c r="E69">
        <f t="shared" si="0"/>
        <v>0</v>
      </c>
    </row>
    <row r="70" spans="1:5" ht="12.75">
      <c r="A70" s="138" t="str">
        <f>+INPUT!B241</f>
        <v>Meeker-Driftwood Canal Diversions</v>
      </c>
      <c r="B70" s="138">
        <f>+INPUT!C241</f>
        <v>0</v>
      </c>
      <c r="C70">
        <v>0</v>
      </c>
      <c r="D70">
        <v>0</v>
      </c>
      <c r="E70">
        <f aca="true" t="shared" si="1" ref="E70:E133">D70</f>
        <v>0</v>
      </c>
    </row>
    <row r="71" spans="1:5" ht="12.75">
      <c r="A71" s="138" t="str">
        <f>+INPUT!B243</f>
        <v>Red Willow Canal Diversions</v>
      </c>
      <c r="B71" s="138">
        <f>+INPUT!C243</f>
        <v>0</v>
      </c>
      <c r="C71">
        <v>0</v>
      </c>
      <c r="D71">
        <v>0</v>
      </c>
      <c r="E71">
        <f t="shared" si="1"/>
        <v>0</v>
      </c>
    </row>
    <row r="72" spans="1:5" ht="12.75">
      <c r="A72" s="138" t="str">
        <f>+INPUT!B237</f>
        <v>Culbertson Canal Diversions</v>
      </c>
      <c r="B72" s="138">
        <f>+INPUT!C237</f>
        <v>6562</v>
      </c>
      <c r="C72">
        <v>8002</v>
      </c>
      <c r="D72">
        <v>8674</v>
      </c>
      <c r="E72">
        <f t="shared" si="1"/>
        <v>8674</v>
      </c>
    </row>
    <row r="73" spans="1:5" ht="12.75">
      <c r="A73" s="138" t="str">
        <f>+INPUT!B238</f>
        <v>Culbertson Canal Extension Diversions</v>
      </c>
      <c r="B73" s="138">
        <f>+INPUT!C238</f>
        <v>0</v>
      </c>
      <c r="C73">
        <v>0</v>
      </c>
      <c r="D73">
        <v>0</v>
      </c>
      <c r="E73">
        <f t="shared" si="1"/>
        <v>0</v>
      </c>
    </row>
    <row r="74" spans="1:5" ht="12.75">
      <c r="A74" s="138" t="str">
        <f>+INPUT!B232</f>
        <v>Haigler Canal Diversions - Nebraska</v>
      </c>
      <c r="B74" s="138">
        <f>+INPUT!C232</f>
        <v>4745</v>
      </c>
      <c r="C74">
        <v>4965</v>
      </c>
      <c r="D74">
        <v>3732</v>
      </c>
      <c r="E74">
        <f t="shared" si="1"/>
        <v>3732</v>
      </c>
    </row>
    <row r="75" spans="1:5" ht="12.75">
      <c r="A75" s="139" t="s">
        <v>198</v>
      </c>
      <c r="B75" s="113"/>
      <c r="E75">
        <f t="shared" si="1"/>
        <v>0</v>
      </c>
    </row>
    <row r="76" spans="1:5" ht="12.75">
      <c r="A76" s="138" t="str">
        <f>+INPUT!B137</f>
        <v>SW Diversions - Irrigation - Non-Federal Canals- Kansas</v>
      </c>
      <c r="B76" s="138">
        <f>+INPUT!C137</f>
        <v>0</v>
      </c>
      <c r="C76">
        <v>0</v>
      </c>
      <c r="D76">
        <v>0</v>
      </c>
      <c r="E76">
        <f t="shared" si="1"/>
        <v>0</v>
      </c>
    </row>
    <row r="77" spans="1:5" ht="12.75">
      <c r="A77" s="138" t="str">
        <f>+INPUT!B138</f>
        <v>SW Diversions - Irrigation - Small Pumps - Kansas</v>
      </c>
      <c r="B77" s="138">
        <f>+INPUT!C138</f>
        <v>767</v>
      </c>
      <c r="C77">
        <v>1064</v>
      </c>
      <c r="D77">
        <v>668</v>
      </c>
      <c r="E77">
        <f t="shared" si="1"/>
        <v>668</v>
      </c>
    </row>
    <row r="78" spans="1:5" ht="12.75">
      <c r="A78" s="138" t="str">
        <f>+INPUT!B139</f>
        <v>SW Diversions - M&amp;I - Kansas</v>
      </c>
      <c r="B78" s="138">
        <f>+INPUT!C139</f>
        <v>0</v>
      </c>
      <c r="C78">
        <v>0</v>
      </c>
      <c r="D78">
        <v>0</v>
      </c>
      <c r="E78">
        <f t="shared" si="1"/>
        <v>0</v>
      </c>
    </row>
    <row r="79" spans="1:5" ht="12.75">
      <c r="A79" s="138" t="str">
        <f>+INPUT!B178</f>
        <v>Non-Federal Reservoir Evaporation - Kansas</v>
      </c>
      <c r="B79" s="138">
        <f>+INPUT!C178</f>
        <v>147.9</v>
      </c>
      <c r="C79">
        <v>0</v>
      </c>
      <c r="D79">
        <v>147.9</v>
      </c>
      <c r="E79">
        <f t="shared" si="1"/>
        <v>147.9</v>
      </c>
    </row>
    <row r="80" spans="1:5" ht="12.75">
      <c r="A80" s="139" t="s">
        <v>199</v>
      </c>
      <c r="B80" s="113"/>
      <c r="E80">
        <f t="shared" si="1"/>
        <v>0</v>
      </c>
    </row>
    <row r="81" spans="1:5" ht="12.75">
      <c r="A81" s="138" t="str">
        <f>+INPUT!B140&amp;" "&amp;"-"&amp;" "&amp;(LEFT(INPUT!A137,8))</f>
        <v>SW Diversions - Irrigation - Non-Federal Canals - Nebraska - Mainstem</v>
      </c>
      <c r="B81" s="138">
        <f>+INPUT!C140</f>
        <v>1660.7</v>
      </c>
      <c r="C81">
        <v>3719</v>
      </c>
      <c r="D81">
        <v>3066</v>
      </c>
      <c r="E81">
        <f t="shared" si="1"/>
        <v>3066</v>
      </c>
    </row>
    <row r="82" spans="1:5" ht="12.75">
      <c r="A82" s="138" t="str">
        <f>+INPUT!B141&amp;" "&amp;"-"&amp;" "&amp;(LEFT(INPUT!$A$137,8))</f>
        <v>SW Diversions - Irrigation - Small Pumps - Nebraska - Mainstem</v>
      </c>
      <c r="B82" s="138">
        <f>+INPUT!C141</f>
        <v>1918</v>
      </c>
      <c r="C82">
        <v>1401</v>
      </c>
      <c r="D82">
        <v>1931</v>
      </c>
      <c r="E82">
        <f t="shared" si="1"/>
        <v>1931</v>
      </c>
    </row>
    <row r="83" spans="1:5" ht="12.75">
      <c r="A83" s="138" t="str">
        <f>+INPUT!B142&amp;" "&amp;"-"&amp;" "&amp;(LEFT(INPUT!$A$137,8))</f>
        <v>SW Diversions - M&amp;I - Nebraska - Mainstem</v>
      </c>
      <c r="B83" s="138">
        <f>+INPUT!C142</f>
        <v>0</v>
      </c>
      <c r="C83">
        <v>0</v>
      </c>
      <c r="D83">
        <v>0</v>
      </c>
      <c r="E83">
        <f t="shared" si="1"/>
        <v>0</v>
      </c>
    </row>
    <row r="84" spans="1:5" ht="12.75">
      <c r="A84" s="138" t="str">
        <f>+INPUT!B179</f>
        <v>Non-Federal Reservoir Evaporation - Nebraska - Above Guide Rock Gage - Whole Basin Value:</v>
      </c>
      <c r="B84" s="138">
        <f>INPUT!C179</f>
        <v>1891</v>
      </c>
      <c r="C84">
        <v>0</v>
      </c>
      <c r="D84">
        <v>2331</v>
      </c>
      <c r="E84">
        <f t="shared" si="1"/>
        <v>2331</v>
      </c>
    </row>
    <row r="85" spans="1:5" ht="12.75">
      <c r="A85" s="138" t="str">
        <f>+INPUT!B180</f>
        <v>Non-Federal Reservoir Evaporation - Nebraska - Below Guide Rock Gage - Whole Basin Value:</v>
      </c>
      <c r="B85" s="138">
        <f>+INPUT!C180</f>
        <v>137</v>
      </c>
      <c r="C85">
        <v>0</v>
      </c>
      <c r="D85">
        <v>340</v>
      </c>
      <c r="E85">
        <f t="shared" si="1"/>
        <v>340</v>
      </c>
    </row>
    <row r="86" spans="1:5" ht="12.75">
      <c r="A86" s="138" t="str">
        <f>+INPUT!B211</f>
        <v>Mainstem Flood Flow</v>
      </c>
      <c r="B86" s="138">
        <f>+INPUT!C211</f>
        <v>0</v>
      </c>
      <c r="C86">
        <v>0</v>
      </c>
      <c r="D86">
        <v>0</v>
      </c>
      <c r="E86">
        <f t="shared" si="1"/>
        <v>0</v>
      </c>
    </row>
    <row r="87" spans="1:5" ht="12.75">
      <c r="A87" s="141" t="s">
        <v>81</v>
      </c>
      <c r="B87" s="113"/>
      <c r="E87">
        <f t="shared" si="1"/>
        <v>0</v>
      </c>
    </row>
    <row r="88" spans="1:5" ht="15.75">
      <c r="A88" s="129" t="s">
        <v>200</v>
      </c>
      <c r="B88" s="118"/>
      <c r="E88">
        <f t="shared" si="1"/>
        <v>0</v>
      </c>
    </row>
    <row r="89" spans="1:5" ht="12.75">
      <c r="A89" s="142" t="s">
        <v>448</v>
      </c>
      <c r="B89" s="132">
        <f>+B61*0.015</f>
        <v>601.29</v>
      </c>
      <c r="C89">
        <v>779.28</v>
      </c>
      <c r="D89">
        <v>381.6</v>
      </c>
      <c r="E89">
        <f t="shared" si="1"/>
        <v>381.6</v>
      </c>
    </row>
    <row r="90" spans="1:5" ht="12.75">
      <c r="A90" s="142" t="s">
        <v>460</v>
      </c>
      <c r="B90" s="132">
        <f>B59*0.18</f>
        <v>74.7</v>
      </c>
      <c r="C90">
        <v>511.38</v>
      </c>
      <c r="D90">
        <v>33.12</v>
      </c>
      <c r="E90">
        <f t="shared" si="1"/>
        <v>33.12</v>
      </c>
    </row>
    <row r="91" spans="1:5" ht="12.75">
      <c r="A91" s="142" t="s">
        <v>461</v>
      </c>
      <c r="B91" s="132">
        <f>B60*0.18</f>
        <v>1482.48</v>
      </c>
      <c r="C91">
        <v>1820.88</v>
      </c>
      <c r="D91">
        <v>1057.86</v>
      </c>
      <c r="E91">
        <f t="shared" si="1"/>
        <v>1057.86</v>
      </c>
    </row>
    <row r="92" spans="1:5" ht="12.75">
      <c r="A92" s="142" t="s">
        <v>462</v>
      </c>
      <c r="B92" s="132">
        <f>B63*0.18</f>
        <v>1686.96</v>
      </c>
      <c r="C92">
        <v>1923.66</v>
      </c>
      <c r="D92">
        <v>1928.7</v>
      </c>
      <c r="E92">
        <f t="shared" si="1"/>
        <v>1928.7</v>
      </c>
    </row>
    <row r="93" spans="1:5" ht="12.75">
      <c r="A93" s="142" t="s">
        <v>201</v>
      </c>
      <c r="B93" s="212">
        <f>B67/(B67+B68)</f>
        <v>0.5055003199291234</v>
      </c>
      <c r="C93">
        <v>0.4844129844129844</v>
      </c>
      <c r="D93">
        <v>0.5055003199291234</v>
      </c>
      <c r="E93">
        <f t="shared" si="1"/>
        <v>0.5055003199291234</v>
      </c>
    </row>
    <row r="94" spans="1:5" ht="12.75">
      <c r="A94" s="143" t="s">
        <v>245</v>
      </c>
      <c r="B94" s="212">
        <f>1-B93</f>
        <v>0.49449968007087663</v>
      </c>
      <c r="C94">
        <v>0.5155870155870156</v>
      </c>
      <c r="D94">
        <v>0.49449968007087663</v>
      </c>
      <c r="E94">
        <f t="shared" si="1"/>
        <v>0.49449968007087663</v>
      </c>
    </row>
    <row r="95" spans="1:5" ht="12.75">
      <c r="A95" s="143" t="s">
        <v>449</v>
      </c>
      <c r="B95" s="213">
        <f>B46*B93</f>
        <v>8950.536081195858</v>
      </c>
      <c r="C95">
        <v>11463.148863148863</v>
      </c>
      <c r="D95">
        <v>8602.098944233892</v>
      </c>
      <c r="E95">
        <f t="shared" si="1"/>
        <v>8602.098944233892</v>
      </c>
    </row>
    <row r="96" spans="1:5" ht="12.75">
      <c r="A96" s="143" t="s">
        <v>246</v>
      </c>
      <c r="B96" s="132">
        <f>B46-B95</f>
        <v>8755.755543804144</v>
      </c>
      <c r="C96">
        <v>12200.851136851137</v>
      </c>
      <c r="D96">
        <v>8414.901055766108</v>
      </c>
      <c r="E96">
        <f t="shared" si="1"/>
        <v>8414.901055766108</v>
      </c>
    </row>
    <row r="97" spans="1:5" ht="12.75">
      <c r="A97" s="145" t="s">
        <v>81</v>
      </c>
      <c r="B97" s="118"/>
      <c r="E97">
        <f t="shared" si="1"/>
        <v>0</v>
      </c>
    </row>
    <row r="98" spans="1:5" ht="15.75">
      <c r="A98" s="129" t="s">
        <v>258</v>
      </c>
      <c r="B98" s="118"/>
      <c r="E98">
        <f t="shared" si="1"/>
        <v>0</v>
      </c>
    </row>
    <row r="99" spans="1:5" ht="12.75">
      <c r="A99" s="110" t="s">
        <v>0</v>
      </c>
      <c r="B99" s="113"/>
      <c r="E99">
        <f t="shared" si="1"/>
        <v>0</v>
      </c>
    </row>
    <row r="100" spans="1:5" ht="12.75">
      <c r="A100" s="112" t="s">
        <v>193</v>
      </c>
      <c r="B100" s="113">
        <f>+B6</f>
        <v>-1954</v>
      </c>
      <c r="C100">
        <v>132</v>
      </c>
      <c r="D100">
        <v>-1269</v>
      </c>
      <c r="E100">
        <f t="shared" si="1"/>
        <v>-1269</v>
      </c>
    </row>
    <row r="101" spans="1:5" ht="12.75">
      <c r="A101" s="112" t="s">
        <v>194</v>
      </c>
      <c r="B101" s="113">
        <f>(ROUND(SUM(B100:B100),-1))</f>
        <v>-1950</v>
      </c>
      <c r="C101">
        <v>130</v>
      </c>
      <c r="D101">
        <v>-1270</v>
      </c>
      <c r="E101">
        <f t="shared" si="1"/>
        <v>-1270</v>
      </c>
    </row>
    <row r="102" spans="1:5" ht="12.75">
      <c r="A102" s="111" t="s">
        <v>81</v>
      </c>
      <c r="B102" s="113"/>
      <c r="E102">
        <f t="shared" si="1"/>
        <v>0</v>
      </c>
    </row>
    <row r="103" spans="1:5" ht="12.75">
      <c r="A103" s="146" t="s">
        <v>178</v>
      </c>
      <c r="B103" s="113"/>
      <c r="E103">
        <f t="shared" si="1"/>
        <v>0</v>
      </c>
    </row>
    <row r="104" spans="1:5" ht="12.75">
      <c r="A104" s="113" t="str">
        <f>+A95</f>
        <v>Net Evaporation From Harlan County Reservoir Charged To Kansas</v>
      </c>
      <c r="B104" s="113">
        <f>+B95</f>
        <v>8950.536081195858</v>
      </c>
      <c r="C104">
        <v>11463.148863148863</v>
      </c>
      <c r="D104">
        <v>8602.098944233892</v>
      </c>
      <c r="E104">
        <f t="shared" si="1"/>
        <v>8602.098944233892</v>
      </c>
    </row>
    <row r="105" spans="1:5" ht="12.75">
      <c r="A105" s="113" t="str">
        <f>+A91</f>
        <v>Courtland Canal Transportation Loss in NE assigned to deliveries to Lovewell that does not recharge</v>
      </c>
      <c r="B105" s="113">
        <f>+B91</f>
        <v>1482.48</v>
      </c>
      <c r="C105">
        <v>1820.88</v>
      </c>
      <c r="D105">
        <v>1057.86</v>
      </c>
      <c r="E105">
        <f t="shared" si="1"/>
        <v>1057.86</v>
      </c>
    </row>
    <row r="106" spans="1:5" ht="12.75">
      <c r="A106" s="114" t="s">
        <v>434</v>
      </c>
      <c r="B106" s="130">
        <f>(B62)*(1-B24)</f>
        <v>689.7354</v>
      </c>
      <c r="C106">
        <v>8439.955</v>
      </c>
      <c r="D106">
        <v>161.8931720930233</v>
      </c>
      <c r="E106">
        <f t="shared" si="1"/>
        <v>161.8931720930233</v>
      </c>
    </row>
    <row r="107" spans="1:5" ht="12.75">
      <c r="A107" s="113" t="str">
        <f>+A92</f>
        <v>Courtland Canal Transportation Loss from the Stateline to Lovewell that does not return</v>
      </c>
      <c r="B107" s="113">
        <f>+B92</f>
        <v>1686.96</v>
      </c>
      <c r="C107">
        <v>1923.66</v>
      </c>
      <c r="D107">
        <v>1928.7</v>
      </c>
      <c r="E107">
        <f t="shared" si="1"/>
        <v>1928.7</v>
      </c>
    </row>
    <row r="108" spans="1:5" ht="12.75">
      <c r="A108" s="139" t="s">
        <v>202</v>
      </c>
      <c r="B108" s="113">
        <f>B48</f>
        <v>2020</v>
      </c>
      <c r="C108">
        <v>670</v>
      </c>
      <c r="D108">
        <v>1110</v>
      </c>
      <c r="E108">
        <f t="shared" si="1"/>
        <v>1110</v>
      </c>
    </row>
    <row r="109" spans="1:5" ht="12.75">
      <c r="A109" s="114" t="s">
        <v>435</v>
      </c>
      <c r="B109" s="130">
        <f>B65*(1-B25)</f>
        <v>12112.628964346348</v>
      </c>
      <c r="C109">
        <v>11557.022182216482</v>
      </c>
      <c r="D109">
        <v>12893.540607154708</v>
      </c>
      <c r="E109">
        <f t="shared" si="1"/>
        <v>12893.540607154708</v>
      </c>
    </row>
    <row r="110" spans="1:5" ht="12" customHeight="1">
      <c r="A110" s="139" t="str">
        <f>'NORTH FORK'!A23</f>
        <v>SW CBCU - Irrigation - Non Federal Canals</v>
      </c>
      <c r="B110" s="130">
        <f>+B76*CanalCUPercent</f>
        <v>0</v>
      </c>
      <c r="C110">
        <v>0</v>
      </c>
      <c r="D110">
        <v>0</v>
      </c>
      <c r="E110">
        <f t="shared" si="1"/>
        <v>0</v>
      </c>
    </row>
    <row r="111" spans="1:5" ht="12.75">
      <c r="A111" s="139" t="str">
        <f>'NORTH FORK'!A24</f>
        <v>SW CBCU - Irrigation - Small Pumps</v>
      </c>
      <c r="B111" s="130">
        <f>+B77*PumperCUPercent</f>
        <v>575.25</v>
      </c>
      <c r="C111">
        <v>798</v>
      </c>
      <c r="D111">
        <v>501</v>
      </c>
      <c r="E111">
        <f t="shared" si="1"/>
        <v>501</v>
      </c>
    </row>
    <row r="112" spans="1:5" ht="12.75">
      <c r="A112" s="139" t="str">
        <f>'NORTH FORK'!A25</f>
        <v>SW CBCU - M&amp;I</v>
      </c>
      <c r="B112" s="130">
        <f>+B78*MI_CUPercent</f>
        <v>0</v>
      </c>
      <c r="C112">
        <v>0</v>
      </c>
      <c r="D112">
        <v>0</v>
      </c>
      <c r="E112">
        <f t="shared" si="1"/>
        <v>0</v>
      </c>
    </row>
    <row r="113" spans="1:5" ht="12.75">
      <c r="A113" s="148" t="str">
        <f>A79</f>
        <v>Non-Federal Reservoir Evaporation - Kansas</v>
      </c>
      <c r="B113" s="130">
        <f>B79</f>
        <v>147.9</v>
      </c>
      <c r="C113">
        <v>0</v>
      </c>
      <c r="D113">
        <v>147.9</v>
      </c>
      <c r="E113">
        <f t="shared" si="1"/>
        <v>147.9</v>
      </c>
    </row>
    <row r="114" spans="1:5" ht="12.75">
      <c r="A114" s="113" t="str">
        <f>'NORTH FORK'!A27</f>
        <v>SW CBCU</v>
      </c>
      <c r="B114" s="130">
        <f>SUM(B104:B113)</f>
        <v>27665.490445542207</v>
      </c>
      <c r="C114">
        <v>36672.666045365346</v>
      </c>
      <c r="D114">
        <v>26402.992723481624</v>
      </c>
      <c r="E114">
        <f t="shared" si="1"/>
        <v>26402.992723481624</v>
      </c>
    </row>
    <row r="115" spans="1:5" ht="12.75">
      <c r="A115" s="113" t="str">
        <f>'NORTH FORK'!A28</f>
        <v>GW CBCU</v>
      </c>
      <c r="B115" s="130">
        <f>+B7</f>
        <v>271</v>
      </c>
      <c r="C115">
        <v>110</v>
      </c>
      <c r="D115">
        <v>399</v>
      </c>
      <c r="E115">
        <f t="shared" si="1"/>
        <v>399</v>
      </c>
    </row>
    <row r="116" spans="1:5" ht="12.75">
      <c r="A116" s="113" t="str">
        <f>'NORTH FORK'!A29</f>
        <v>Total CBCU</v>
      </c>
      <c r="B116" s="130">
        <f>(ROUND(SUM(B114:B115),-1))</f>
        <v>27940</v>
      </c>
      <c r="C116">
        <v>36780</v>
      </c>
      <c r="D116">
        <v>26800</v>
      </c>
      <c r="E116">
        <f t="shared" si="1"/>
        <v>26800</v>
      </c>
    </row>
    <row r="117" spans="1:5" ht="12.75">
      <c r="A117" s="111" t="s">
        <v>81</v>
      </c>
      <c r="B117" s="130"/>
      <c r="E117">
        <f t="shared" si="1"/>
        <v>0</v>
      </c>
    </row>
    <row r="118" spans="1:5" ht="12.75">
      <c r="A118" s="110" t="s">
        <v>1</v>
      </c>
      <c r="B118" s="130"/>
      <c r="E118">
        <f t="shared" si="1"/>
        <v>0</v>
      </c>
    </row>
    <row r="119" spans="1:5" ht="12.75">
      <c r="A119" s="149" t="s">
        <v>357</v>
      </c>
      <c r="B119" s="150">
        <f>B58*(1-B23)</f>
        <v>0</v>
      </c>
      <c r="C119">
        <v>1072.473</v>
      </c>
      <c r="D119">
        <v>0</v>
      </c>
      <c r="E119">
        <f t="shared" si="1"/>
        <v>0</v>
      </c>
    </row>
    <row r="120" spans="1:5" ht="12.75">
      <c r="A120" s="149" t="s">
        <v>352</v>
      </c>
      <c r="B120" s="130">
        <f>+B55*(1-B22)</f>
        <v>1687.2414000000006</v>
      </c>
      <c r="C120">
        <v>3514.82</v>
      </c>
      <c r="D120">
        <v>1868.3706</v>
      </c>
      <c r="E120">
        <f t="shared" si="1"/>
        <v>1868.3706</v>
      </c>
    </row>
    <row r="121" spans="1:5" ht="12.75">
      <c r="A121" s="149" t="s">
        <v>353</v>
      </c>
      <c r="B121" s="150">
        <f>+B54*(1-B21)</f>
        <v>0</v>
      </c>
      <c r="C121">
        <v>725.41</v>
      </c>
      <c r="D121">
        <v>0</v>
      </c>
      <c r="E121">
        <f t="shared" si="1"/>
        <v>0</v>
      </c>
    </row>
    <row r="122" spans="1:5" ht="12.75">
      <c r="A122" s="149" t="s">
        <v>354</v>
      </c>
      <c r="B122" s="150">
        <f>+B53*(1-B20)</f>
        <v>0</v>
      </c>
      <c r="C122">
        <v>5494.32</v>
      </c>
      <c r="D122">
        <v>0</v>
      </c>
      <c r="E122">
        <f t="shared" si="1"/>
        <v>0</v>
      </c>
    </row>
    <row r="123" spans="1:5" ht="12.75">
      <c r="A123" s="149" t="s">
        <v>355</v>
      </c>
      <c r="B123" s="150">
        <f>+B52*(1-B19)</f>
        <v>0</v>
      </c>
      <c r="C123">
        <v>1016.14</v>
      </c>
      <c r="D123">
        <v>0</v>
      </c>
      <c r="E123">
        <f t="shared" si="1"/>
        <v>0</v>
      </c>
    </row>
    <row r="124" spans="1:5" ht="12.75">
      <c r="A124" s="149" t="str">
        <f>+A51</f>
        <v>Cambridge Canal Diversion</v>
      </c>
      <c r="B124" s="150">
        <f>+B51*(1-B18)</f>
        <v>9152.852000000003</v>
      </c>
      <c r="C124">
        <v>8982.68</v>
      </c>
      <c r="D124">
        <v>10442.015999999998</v>
      </c>
      <c r="E124">
        <f t="shared" si="1"/>
        <v>10442.015999999998</v>
      </c>
    </row>
    <row r="125" spans="1:5" ht="12.75">
      <c r="A125" s="149" t="str">
        <f>+A50</f>
        <v>Bartley Canal Diversion</v>
      </c>
      <c r="B125" s="150">
        <f>+B50*(1-B17)</f>
        <v>0</v>
      </c>
      <c r="C125">
        <v>0</v>
      </c>
      <c r="D125">
        <v>0</v>
      </c>
      <c r="E125">
        <f t="shared" si="1"/>
        <v>0</v>
      </c>
    </row>
    <row r="126" spans="1:5" ht="12.75">
      <c r="A126" s="149" t="s">
        <v>356</v>
      </c>
      <c r="B126" s="150">
        <f>+B70*(1-B13)</f>
        <v>0</v>
      </c>
      <c r="C126">
        <v>0</v>
      </c>
      <c r="D126">
        <v>0</v>
      </c>
      <c r="E126">
        <f t="shared" si="1"/>
        <v>0</v>
      </c>
    </row>
    <row r="127" spans="1:5" ht="12.75">
      <c r="A127" s="149" t="str">
        <f>A71&amp;" "&amp;"(90%)"</f>
        <v>Red Willow Canal Diversions (90%)</v>
      </c>
      <c r="B127" s="150">
        <f>+B71*0.9*(1-B16)</f>
        <v>0</v>
      </c>
      <c r="C127">
        <v>0</v>
      </c>
      <c r="D127">
        <v>0</v>
      </c>
      <c r="E127">
        <f t="shared" si="1"/>
        <v>0</v>
      </c>
    </row>
    <row r="128" spans="1:5" ht="12.75">
      <c r="A128" s="139" t="str">
        <f>'NORTH FORK'!A23</f>
        <v>SW CBCU - Irrigation - Non Federal Canals</v>
      </c>
      <c r="B128" s="130">
        <f>B81*CanalCUPercent</f>
        <v>996.42</v>
      </c>
      <c r="C128">
        <v>2231.4</v>
      </c>
      <c r="D128">
        <v>1839.6</v>
      </c>
      <c r="E128">
        <f t="shared" si="1"/>
        <v>1839.6</v>
      </c>
    </row>
    <row r="129" spans="1:5" ht="12.75">
      <c r="A129" s="139" t="str">
        <f>'NORTH FORK'!A24</f>
        <v>SW CBCU - Irrigation - Small Pumps</v>
      </c>
      <c r="B129" s="130">
        <f>B82*PumperCUPercent</f>
        <v>1438.5</v>
      </c>
      <c r="C129">
        <v>1050.75</v>
      </c>
      <c r="D129">
        <v>1448.25</v>
      </c>
      <c r="E129">
        <f t="shared" si="1"/>
        <v>1448.25</v>
      </c>
    </row>
    <row r="130" spans="1:5" ht="12.75">
      <c r="A130" s="139" t="str">
        <f>'NORTH FORK'!A25</f>
        <v>SW CBCU - M&amp;I</v>
      </c>
      <c r="B130" s="130">
        <f>B83*MI_CUPercent</f>
        <v>0</v>
      </c>
      <c r="C130">
        <v>0</v>
      </c>
      <c r="D130">
        <v>0</v>
      </c>
      <c r="E130">
        <f t="shared" si="1"/>
        <v>0</v>
      </c>
    </row>
    <row r="131" spans="1:5" ht="12.75">
      <c r="A131" s="147" t="str">
        <f>A45</f>
        <v>Harry Strunk Lake Evaporation</v>
      </c>
      <c r="B131" s="130">
        <f>+B45</f>
        <v>2771.705791666667</v>
      </c>
      <c r="C131">
        <v>3755</v>
      </c>
      <c r="D131">
        <v>2058.9</v>
      </c>
      <c r="E131">
        <f t="shared" si="1"/>
        <v>2058.9</v>
      </c>
    </row>
    <row r="132" spans="1:5" ht="12.75">
      <c r="A132" s="147" t="str">
        <f>A42</f>
        <v>Swanson Lake Evaporation</v>
      </c>
      <c r="B132" s="130">
        <f>+B42</f>
        <v>5637.999291666667</v>
      </c>
      <c r="C132">
        <v>6086</v>
      </c>
      <c r="D132">
        <v>2588.2</v>
      </c>
      <c r="E132">
        <f t="shared" si="1"/>
        <v>2588.2</v>
      </c>
    </row>
    <row r="133" spans="1:5" ht="12.75">
      <c r="A133" s="112" t="str">
        <f>A44&amp;" "&amp;"(90%)"</f>
        <v>Hugh Butler Lake Evaporation (90%)</v>
      </c>
      <c r="B133" s="130">
        <f>+B44*0.9</f>
        <v>2007.235275</v>
      </c>
      <c r="C133">
        <v>2139.3</v>
      </c>
      <c r="D133">
        <v>1822.95</v>
      </c>
      <c r="E133">
        <f t="shared" si="1"/>
        <v>1822.95</v>
      </c>
    </row>
    <row r="134" spans="1:5" ht="12.75">
      <c r="A134" s="139" t="s">
        <v>510</v>
      </c>
      <c r="B134" s="130">
        <f>+B96</f>
        <v>8755.755543804144</v>
      </c>
      <c r="C134">
        <v>12200.851136851137</v>
      </c>
      <c r="D134">
        <v>8414.901055766108</v>
      </c>
      <c r="E134">
        <f aca="true" t="shared" si="2" ref="E134:E197">D134</f>
        <v>8414.901055766108</v>
      </c>
    </row>
    <row r="135" spans="1:5" ht="12.75">
      <c r="A135" s="111" t="s">
        <v>256</v>
      </c>
      <c r="B135" s="130">
        <f>B84+B85</f>
        <v>2028</v>
      </c>
      <c r="C135">
        <v>0</v>
      </c>
      <c r="D135">
        <v>340</v>
      </c>
      <c r="E135">
        <f t="shared" si="2"/>
        <v>340</v>
      </c>
    </row>
    <row r="136" spans="1:5" ht="12.75">
      <c r="A136" s="111" t="str">
        <f>'NORTH FORK'!A27</f>
        <v>SW CBCU</v>
      </c>
      <c r="B136" s="130">
        <f>SUM(B119:B135)</f>
        <v>34475.70930213748</v>
      </c>
      <c r="C136">
        <v>48269.144136851144</v>
      </c>
      <c r="D136">
        <v>30823.18765576611</v>
      </c>
      <c r="E136">
        <f t="shared" si="2"/>
        <v>30823.18765576611</v>
      </c>
    </row>
    <row r="137" spans="1:5" ht="12.75">
      <c r="A137" s="111" t="str">
        <f>'NORTH FORK'!A28</f>
        <v>GW CBCU</v>
      </c>
      <c r="B137" s="130">
        <f>+B10</f>
        <v>84056</v>
      </c>
      <c r="C137">
        <v>76882</v>
      </c>
      <c r="D137">
        <v>80565</v>
      </c>
      <c r="E137">
        <f t="shared" si="2"/>
        <v>80565</v>
      </c>
    </row>
    <row r="138" spans="1:5" ht="12.75">
      <c r="A138" s="111" t="str">
        <f>'NORTH FORK'!A29</f>
        <v>Total CBCU</v>
      </c>
      <c r="B138" s="130">
        <f>(ROUND(SUM(B136:B137),-1))</f>
        <v>118530</v>
      </c>
      <c r="C138">
        <v>125150</v>
      </c>
      <c r="D138">
        <v>111390</v>
      </c>
      <c r="E138">
        <f t="shared" si="2"/>
        <v>111390</v>
      </c>
    </row>
    <row r="139" spans="1:5" ht="12.75">
      <c r="A139" s="114" t="s">
        <v>81</v>
      </c>
      <c r="B139" s="130"/>
      <c r="E139">
        <f t="shared" si="2"/>
        <v>0</v>
      </c>
    </row>
    <row r="140" spans="1:5" ht="12.75">
      <c r="A140" s="115" t="s">
        <v>179</v>
      </c>
      <c r="B140" s="130"/>
      <c r="E140">
        <f t="shared" si="2"/>
        <v>0</v>
      </c>
    </row>
    <row r="141" spans="1:5" ht="12.75">
      <c r="A141" s="114" t="str">
        <f>'NORTH FORK'!A42</f>
        <v>Total SW CBCU</v>
      </c>
      <c r="B141" s="130">
        <f>+B114+B136</f>
        <v>62141.19974767969</v>
      </c>
      <c r="C141">
        <v>84941.81018221649</v>
      </c>
      <c r="D141">
        <v>57226.18037924773</v>
      </c>
      <c r="E141">
        <f t="shared" si="2"/>
        <v>57226.18037924773</v>
      </c>
    </row>
    <row r="142" spans="1:5" ht="12.75">
      <c r="A142" s="114" t="str">
        <f>'NORTH FORK'!A43</f>
        <v>Total GW CBCU</v>
      </c>
      <c r="B142" s="130">
        <f>+B100+B115+B137</f>
        <v>82373</v>
      </c>
      <c r="C142">
        <v>77124</v>
      </c>
      <c r="D142">
        <v>79695</v>
      </c>
      <c r="E142">
        <f t="shared" si="2"/>
        <v>79695</v>
      </c>
    </row>
    <row r="143" spans="1:5" ht="12.75">
      <c r="A143" s="114" t="str">
        <f>'NORTH FORK'!A44</f>
        <v>Total Basin CBCU</v>
      </c>
      <c r="B143" s="130">
        <f>(ROUND(SUM(B141:B142),-1))</f>
        <v>144510</v>
      </c>
      <c r="C143">
        <v>162070</v>
      </c>
      <c r="D143">
        <v>136920</v>
      </c>
      <c r="E143">
        <f t="shared" si="2"/>
        <v>136920</v>
      </c>
    </row>
    <row r="144" spans="1:5" ht="12.75">
      <c r="A144" s="114" t="s">
        <v>81</v>
      </c>
      <c r="B144" s="130"/>
      <c r="E144">
        <f t="shared" si="2"/>
        <v>0</v>
      </c>
    </row>
    <row r="145" spans="1:5" ht="15.75">
      <c r="A145" s="116" t="s">
        <v>10</v>
      </c>
      <c r="B145" s="132"/>
      <c r="E145">
        <f t="shared" si="2"/>
        <v>0</v>
      </c>
    </row>
    <row r="146" spans="1:5" ht="12.75">
      <c r="A146" s="118" t="str">
        <f>A29</f>
        <v>Republican River Near Hardy</v>
      </c>
      <c r="B146" s="132">
        <f>B29</f>
        <v>16980</v>
      </c>
      <c r="C146">
        <v>52394</v>
      </c>
      <c r="D146">
        <v>41964</v>
      </c>
      <c r="E146">
        <f t="shared" si="2"/>
        <v>41964</v>
      </c>
    </row>
    <row r="147" spans="1:5" ht="12.75">
      <c r="A147" s="118" t="str">
        <f aca="true" t="shared" si="3" ref="A147:A157">A30</f>
        <v>North Fork Republican River At Colorado-Nebraska State Line</v>
      </c>
      <c r="B147" s="132">
        <f aca="true" t="shared" si="4" ref="B147:B155">B30</f>
        <v>21060</v>
      </c>
      <c r="C147">
        <v>17700</v>
      </c>
      <c r="D147">
        <v>19759</v>
      </c>
      <c r="E147">
        <f t="shared" si="2"/>
        <v>19759</v>
      </c>
    </row>
    <row r="148" spans="1:5" ht="12.75">
      <c r="A148" s="118" t="str">
        <f t="shared" si="3"/>
        <v>Arikaree River At Haigler</v>
      </c>
      <c r="B148" s="132">
        <f t="shared" si="4"/>
        <v>1151</v>
      </c>
      <c r="C148">
        <v>1060</v>
      </c>
      <c r="D148">
        <v>341</v>
      </c>
      <c r="E148">
        <f t="shared" si="2"/>
        <v>341</v>
      </c>
    </row>
    <row r="149" spans="1:5" ht="12.75">
      <c r="A149" s="118" t="str">
        <f t="shared" si="3"/>
        <v>Buffalo Creek Near Haigler</v>
      </c>
      <c r="B149" s="132">
        <f t="shared" si="4"/>
        <v>2227</v>
      </c>
      <c r="C149">
        <v>2090</v>
      </c>
      <c r="D149">
        <v>2276</v>
      </c>
      <c r="E149">
        <f t="shared" si="2"/>
        <v>2276</v>
      </c>
    </row>
    <row r="150" spans="1:5" ht="12.75">
      <c r="A150" s="118" t="str">
        <f t="shared" si="3"/>
        <v>Rock Creek At Parks</v>
      </c>
      <c r="B150" s="132">
        <f t="shared" si="4"/>
        <v>5466</v>
      </c>
      <c r="C150">
        <v>4710</v>
      </c>
      <c r="D150">
        <v>5419</v>
      </c>
      <c r="E150">
        <f t="shared" si="2"/>
        <v>5419</v>
      </c>
    </row>
    <row r="151" spans="1:5" ht="12.75">
      <c r="A151" s="118" t="str">
        <f t="shared" si="3"/>
        <v>South Fork Republican River Near Benkelman</v>
      </c>
      <c r="B151" s="132">
        <f t="shared" si="4"/>
        <v>0</v>
      </c>
      <c r="C151">
        <v>905.35872</v>
      </c>
      <c r="D151">
        <v>0</v>
      </c>
      <c r="E151">
        <f t="shared" si="2"/>
        <v>0</v>
      </c>
    </row>
    <row r="152" spans="1:5" ht="12.75">
      <c r="A152" s="118" t="str">
        <f t="shared" si="3"/>
        <v>Frenchman Creek At Culbertson</v>
      </c>
      <c r="B152" s="132">
        <f t="shared" si="4"/>
        <v>23235</v>
      </c>
      <c r="C152">
        <v>13360</v>
      </c>
      <c r="D152">
        <v>19926</v>
      </c>
      <c r="E152">
        <f t="shared" si="2"/>
        <v>19926</v>
      </c>
    </row>
    <row r="153" spans="1:5" ht="12.75">
      <c r="A153" s="118" t="str">
        <f t="shared" si="3"/>
        <v>Driftwood Creek Near McCook</v>
      </c>
      <c r="B153" s="132">
        <f t="shared" si="4"/>
        <v>1911</v>
      </c>
      <c r="C153">
        <v>1100</v>
      </c>
      <c r="D153">
        <v>1201</v>
      </c>
      <c r="E153">
        <f t="shared" si="2"/>
        <v>1201</v>
      </c>
    </row>
    <row r="154" spans="1:5" ht="12.75">
      <c r="A154" s="118" t="str">
        <f t="shared" si="3"/>
        <v>Red Willow Creek Near Red Willow</v>
      </c>
      <c r="B154" s="132">
        <f t="shared" si="4"/>
        <v>3791</v>
      </c>
      <c r="C154">
        <v>3970</v>
      </c>
      <c r="D154">
        <v>3555</v>
      </c>
      <c r="E154">
        <f t="shared" si="2"/>
        <v>3555</v>
      </c>
    </row>
    <row r="155" spans="1:5" ht="12.75">
      <c r="A155" s="118" t="str">
        <f t="shared" si="3"/>
        <v>Medicine Creek Below Harry Strunk</v>
      </c>
      <c r="B155" s="132">
        <f t="shared" si="4"/>
        <v>19992</v>
      </c>
      <c r="C155">
        <v>19850</v>
      </c>
      <c r="D155">
        <v>23300</v>
      </c>
      <c r="E155">
        <f t="shared" si="2"/>
        <v>23300</v>
      </c>
    </row>
    <row r="156" spans="1:5" ht="12.75">
      <c r="A156" s="118" t="str">
        <f t="shared" si="3"/>
        <v>Sappa Creek Near Stamford</v>
      </c>
      <c r="B156" s="132">
        <f>B39</f>
        <v>262</v>
      </c>
      <c r="C156">
        <v>179.11552</v>
      </c>
      <c r="D156">
        <v>84</v>
      </c>
      <c r="E156">
        <f t="shared" si="2"/>
        <v>84</v>
      </c>
    </row>
    <row r="157" spans="1:5" ht="12.75">
      <c r="A157" s="118" t="str">
        <f t="shared" si="3"/>
        <v>Prairie Dog Creek Near Woodruff</v>
      </c>
      <c r="B157" s="132">
        <f>B40</f>
        <v>3436</v>
      </c>
      <c r="C157">
        <v>1087.4502400000001</v>
      </c>
      <c r="D157">
        <v>147</v>
      </c>
      <c r="E157">
        <f t="shared" si="2"/>
        <v>147</v>
      </c>
    </row>
    <row r="158" spans="1:5" ht="12.75">
      <c r="A158" s="151"/>
      <c r="B158" s="152"/>
      <c r="E158">
        <f t="shared" si="2"/>
        <v>0</v>
      </c>
    </row>
    <row r="159" spans="1:5" ht="12.75">
      <c r="A159" s="117" t="str">
        <f>'NORTH FORK'!A49</f>
        <v>Colorado CBCU</v>
      </c>
      <c r="B159" s="132">
        <f>+B101</f>
        <v>-1950</v>
      </c>
      <c r="C159">
        <v>130</v>
      </c>
      <c r="D159">
        <v>-1270</v>
      </c>
      <c r="E159">
        <f t="shared" si="2"/>
        <v>-1270</v>
      </c>
    </row>
    <row r="160" spans="1:5" ht="12.75">
      <c r="A160" s="117" t="str">
        <f>'NORTH FORK'!A50&amp;" "&amp;"Above Stateline"</f>
        <v>Kansas CBCU Above Stateline</v>
      </c>
      <c r="B160" s="132">
        <f>B90+B91+B104+SUM(B110:B113)</f>
        <v>11230.866081195858</v>
      </c>
      <c r="C160">
        <v>14593.408863148863</v>
      </c>
      <c r="D160">
        <v>10341.978944233892</v>
      </c>
      <c r="E160">
        <f t="shared" si="2"/>
        <v>10341.978944233892</v>
      </c>
    </row>
    <row r="161" spans="1:5" ht="12.75">
      <c r="A161" s="117" t="str">
        <f>'NORTH FORK'!A51</f>
        <v>Nebraska CBCU</v>
      </c>
      <c r="B161" s="132">
        <f>+B138</f>
        <v>118530</v>
      </c>
      <c r="C161">
        <v>125150</v>
      </c>
      <c r="D161">
        <v>111390</v>
      </c>
      <c r="E161">
        <f t="shared" si="2"/>
        <v>111390</v>
      </c>
    </row>
    <row r="162" spans="1:5" ht="12.75">
      <c r="A162" s="117"/>
      <c r="B162" s="132"/>
      <c r="E162">
        <f t="shared" si="2"/>
        <v>0</v>
      </c>
    </row>
    <row r="163" spans="1:5" ht="12.75">
      <c r="A163" s="153" t="s">
        <v>215</v>
      </c>
      <c r="B163" s="132">
        <f>+B127</f>
        <v>0</v>
      </c>
      <c r="C163">
        <v>0</v>
      </c>
      <c r="D163">
        <v>0</v>
      </c>
      <c r="E163">
        <f t="shared" si="2"/>
        <v>0</v>
      </c>
    </row>
    <row r="164" spans="1:5" ht="12.75">
      <c r="A164" s="153" t="s">
        <v>203</v>
      </c>
      <c r="B164" s="132">
        <f>+B133</f>
        <v>2007.235275</v>
      </c>
      <c r="C164">
        <v>2139.3</v>
      </c>
      <c r="D164">
        <v>1822.95</v>
      </c>
      <c r="E164">
        <f t="shared" si="2"/>
        <v>1822.95</v>
      </c>
    </row>
    <row r="165" spans="1:5" ht="12.75">
      <c r="A165" s="153" t="s">
        <v>132</v>
      </c>
      <c r="B165" s="132">
        <f>+B131</f>
        <v>2771.705791666667</v>
      </c>
      <c r="C165">
        <v>3755</v>
      </c>
      <c r="D165">
        <v>2058.9</v>
      </c>
      <c r="E165">
        <f t="shared" si="2"/>
        <v>2058.9</v>
      </c>
    </row>
    <row r="166" spans="1:5" ht="12.75">
      <c r="A166" s="117"/>
      <c r="B166" s="132"/>
      <c r="E166">
        <f t="shared" si="2"/>
        <v>0</v>
      </c>
    </row>
    <row r="167" spans="1:5" ht="12.75">
      <c r="A167" s="132" t="s">
        <v>360</v>
      </c>
      <c r="B167" s="132">
        <f>'MEDICINE CREEK'!B52</f>
        <v>65.39999999999999</v>
      </c>
      <c r="C167">
        <v>79.5</v>
      </c>
      <c r="D167">
        <v>46.725</v>
      </c>
      <c r="E167">
        <f t="shared" si="2"/>
        <v>46.725</v>
      </c>
    </row>
    <row r="168" spans="1:5" ht="12.75">
      <c r="A168" s="132" t="s">
        <v>361</v>
      </c>
      <c r="B168" s="132">
        <f>BEAVER!B63</f>
        <v>0</v>
      </c>
      <c r="C168">
        <v>0</v>
      </c>
      <c r="D168">
        <v>0</v>
      </c>
      <c r="E168">
        <f t="shared" si="2"/>
        <v>0</v>
      </c>
    </row>
    <row r="169" spans="1:5" ht="12.75">
      <c r="A169" s="132" t="s">
        <v>363</v>
      </c>
      <c r="B169" s="132">
        <f>SAPPA!B56</f>
        <v>5.2</v>
      </c>
      <c r="C169">
        <v>14.85</v>
      </c>
      <c r="D169">
        <v>7.3</v>
      </c>
      <c r="E169">
        <f t="shared" si="2"/>
        <v>7.3</v>
      </c>
    </row>
    <row r="170" spans="1:5" ht="12.75">
      <c r="A170" s="132" t="s">
        <v>362</v>
      </c>
      <c r="B170" s="132">
        <f>'PRAIRIE DOG'!B54</f>
        <v>36.95</v>
      </c>
      <c r="C170">
        <v>44.4</v>
      </c>
      <c r="D170">
        <v>50.625</v>
      </c>
      <c r="E170">
        <f t="shared" si="2"/>
        <v>50.625</v>
      </c>
    </row>
    <row r="171" spans="1:5" ht="12.75">
      <c r="A171" s="117"/>
      <c r="B171" s="132"/>
      <c r="E171">
        <f t="shared" si="2"/>
        <v>0</v>
      </c>
    </row>
    <row r="172" spans="1:5" ht="12.75">
      <c r="A172" s="118" t="str">
        <f>+A47</f>
        <v>Harlan County Change In Storage</v>
      </c>
      <c r="B172" s="132">
        <f>+B47</f>
        <v>21000</v>
      </c>
      <c r="C172">
        <v>-47110</v>
      </c>
      <c r="D172">
        <v>-6200</v>
      </c>
      <c r="E172">
        <f t="shared" si="2"/>
        <v>-6200</v>
      </c>
    </row>
    <row r="173" spans="1:5" ht="12.75">
      <c r="A173" s="118" t="str">
        <f>+A43</f>
        <v>Swanson Lake Change In Storage</v>
      </c>
      <c r="B173" s="132">
        <f>+B43</f>
        <v>4600</v>
      </c>
      <c r="C173">
        <v>4735</v>
      </c>
      <c r="D173">
        <v>3900</v>
      </c>
      <c r="E173">
        <f t="shared" si="2"/>
        <v>3900</v>
      </c>
    </row>
    <row r="174" spans="1:5" ht="12.75">
      <c r="A174" s="153"/>
      <c r="B174" s="132"/>
      <c r="E174">
        <f t="shared" si="2"/>
        <v>0</v>
      </c>
    </row>
    <row r="175" spans="1:5" ht="12.75">
      <c r="A175" s="154" t="s">
        <v>207</v>
      </c>
      <c r="B175" s="132">
        <f>+B74*(1-CanalCUPercent)</f>
        <v>1898</v>
      </c>
      <c r="C175">
        <v>1986</v>
      </c>
      <c r="D175">
        <v>1492.8</v>
      </c>
      <c r="E175">
        <f t="shared" si="2"/>
        <v>1492.8</v>
      </c>
    </row>
    <row r="176" spans="1:5" ht="12.75">
      <c r="A176" s="153" t="s">
        <v>205</v>
      </c>
      <c r="B176" s="132">
        <f>+B72*B14*0.17</f>
        <v>871.12454</v>
      </c>
      <c r="C176">
        <v>761.7904000000002</v>
      </c>
      <c r="D176">
        <v>970.96282</v>
      </c>
      <c r="E176">
        <f t="shared" si="2"/>
        <v>970.96282</v>
      </c>
    </row>
    <row r="177" spans="1:5" ht="12.75">
      <c r="A177" s="153" t="s">
        <v>206</v>
      </c>
      <c r="B177" s="132">
        <f>+B73*B15</f>
        <v>0</v>
      </c>
      <c r="C177">
        <v>0</v>
      </c>
      <c r="D177">
        <v>0</v>
      </c>
      <c r="E177">
        <f t="shared" si="2"/>
        <v>0</v>
      </c>
    </row>
    <row r="178" spans="1:5" ht="12.75">
      <c r="A178" s="119" t="s">
        <v>208</v>
      </c>
      <c r="B178" s="132">
        <f>0.24*(B13*B70)</f>
        <v>0</v>
      </c>
      <c r="C178">
        <v>0</v>
      </c>
      <c r="D178">
        <v>0</v>
      </c>
      <c r="E178">
        <f t="shared" si="2"/>
        <v>0</v>
      </c>
    </row>
    <row r="179" spans="1:5" ht="12.75">
      <c r="A179" s="153" t="s">
        <v>204</v>
      </c>
      <c r="B179" s="132">
        <f>+B71*B16*0.9</f>
        <v>0</v>
      </c>
      <c r="C179">
        <v>0</v>
      </c>
      <c r="D179">
        <v>0</v>
      </c>
      <c r="E179">
        <f t="shared" si="2"/>
        <v>0</v>
      </c>
    </row>
    <row r="180" spans="1:5" ht="12.75">
      <c r="A180" s="153"/>
      <c r="B180" s="132"/>
      <c r="E180">
        <f t="shared" si="2"/>
        <v>0</v>
      </c>
    </row>
    <row r="181" spans="1:5" ht="12.75">
      <c r="A181" s="155" t="str">
        <f>+A61</f>
        <v>Courtland Canal At Kansas-Nebraska State Line</v>
      </c>
      <c r="B181" s="144">
        <f>+B61</f>
        <v>40086</v>
      </c>
      <c r="C181">
        <v>51952</v>
      </c>
      <c r="D181">
        <v>25440</v>
      </c>
      <c r="E181">
        <f t="shared" si="2"/>
        <v>25440</v>
      </c>
    </row>
    <row r="182" spans="1:5" ht="12.75">
      <c r="A182" s="153" t="s">
        <v>164</v>
      </c>
      <c r="B182" s="156">
        <f>+B89</f>
        <v>601.29</v>
      </c>
      <c r="C182">
        <v>779.28</v>
      </c>
      <c r="D182">
        <v>381.6</v>
      </c>
      <c r="E182">
        <f t="shared" si="2"/>
        <v>381.6</v>
      </c>
    </row>
    <row r="183" spans="1:5" ht="12.75">
      <c r="A183" s="118"/>
      <c r="B183" s="132"/>
      <c r="E183">
        <f t="shared" si="2"/>
        <v>0</v>
      </c>
    </row>
    <row r="184" spans="1:5" ht="12.75">
      <c r="A184" s="117" t="str">
        <f>'NORTH FORK'!A52</f>
        <v>Imported Water</v>
      </c>
      <c r="B184" s="132">
        <f>+B5</f>
        <v>2297</v>
      </c>
      <c r="C184">
        <v>337</v>
      </c>
      <c r="D184">
        <v>834</v>
      </c>
      <c r="E184">
        <f t="shared" si="2"/>
        <v>834</v>
      </c>
    </row>
    <row r="185" spans="1:5" ht="12.75">
      <c r="A185" s="117" t="str">
        <f>'NORTH FORK'!A53</f>
        <v>Virgin Water Supply</v>
      </c>
      <c r="B185" s="132">
        <f>B146-SUM(B147:B157)+B159+B160+B161-B163-B164-B165+SUM(B167:B170)+B172+B173-B175-B176-B177+B178-B179+B181-B182-B184</f>
        <v>117607.0604745292</v>
      </c>
      <c r="C185">
        <v>126212.86398314887</v>
      </c>
      <c r="D185">
        <v>102101.41612423389</v>
      </c>
      <c r="E185">
        <f t="shared" si="2"/>
        <v>102101.41612423389</v>
      </c>
    </row>
    <row r="186" spans="1:5" ht="12.75">
      <c r="A186" s="117" t="str">
        <f>'NORTH FORK'!A54</f>
        <v>Adjustment For Flood Flows</v>
      </c>
      <c r="B186" s="132">
        <f>B86</f>
        <v>0</v>
      </c>
      <c r="C186">
        <v>0</v>
      </c>
      <c r="D186">
        <v>0</v>
      </c>
      <c r="E186">
        <f t="shared" si="2"/>
        <v>0</v>
      </c>
    </row>
    <row r="187" spans="1:5" ht="12.75">
      <c r="A187" s="117" t="str">
        <f>'NORTH FORK'!A55</f>
        <v>Computed Water Supply</v>
      </c>
      <c r="B187" s="132">
        <f>+ROUND(B185-B186-SUM(B172:B173),-1)</f>
        <v>92010</v>
      </c>
      <c r="C187">
        <v>168590</v>
      </c>
      <c r="D187">
        <v>104400</v>
      </c>
      <c r="E187">
        <f t="shared" si="2"/>
        <v>104400</v>
      </c>
    </row>
    <row r="188" spans="1:5" ht="12.75">
      <c r="A188" s="119" t="s">
        <v>81</v>
      </c>
      <c r="B188" s="132"/>
      <c r="E188">
        <f t="shared" si="2"/>
        <v>0</v>
      </c>
    </row>
    <row r="189" spans="1:5" ht="15.75">
      <c r="A189" s="11" t="s">
        <v>12</v>
      </c>
      <c r="B189" s="135"/>
      <c r="E189">
        <f t="shared" si="2"/>
        <v>0</v>
      </c>
    </row>
    <row r="190" spans="1:5" ht="12.75">
      <c r="A190" s="2" t="str">
        <f>'NORTH FORK'!A58</f>
        <v>Colorado Percent Of Allocation</v>
      </c>
      <c r="B190" s="136">
        <f>'T2'!D17</f>
        <v>0</v>
      </c>
      <c r="C190">
        <v>0</v>
      </c>
      <c r="D190">
        <v>0</v>
      </c>
      <c r="E190">
        <f t="shared" si="2"/>
        <v>0</v>
      </c>
    </row>
    <row r="191" spans="1:5" ht="12.75">
      <c r="A191" s="2" t="str">
        <f>'NORTH FORK'!A59</f>
        <v>Colorado Allocation</v>
      </c>
      <c r="B191" s="29">
        <f>ROUND(B187*B190,-1)</f>
        <v>0</v>
      </c>
      <c r="C191">
        <v>0</v>
      </c>
      <c r="D191">
        <v>0</v>
      </c>
      <c r="E191">
        <f t="shared" si="2"/>
        <v>0</v>
      </c>
    </row>
    <row r="192" spans="1:5" ht="12.75">
      <c r="A192" s="2" t="str">
        <f>'NORTH FORK'!A60</f>
        <v>Kansas Percent Of Allocation</v>
      </c>
      <c r="B192" s="72">
        <f>'T2'!F17</f>
        <v>0.511</v>
      </c>
      <c r="C192">
        <v>0.511</v>
      </c>
      <c r="D192">
        <v>0.511</v>
      </c>
      <c r="E192">
        <f t="shared" si="2"/>
        <v>0.511</v>
      </c>
    </row>
    <row r="193" spans="1:5" ht="12.75">
      <c r="A193" s="2" t="str">
        <f>'NORTH FORK'!A61</f>
        <v>Kansas Allocation</v>
      </c>
      <c r="B193" s="29">
        <f>ROUND(B187*B192,-1)</f>
        <v>47020</v>
      </c>
      <c r="C193">
        <v>86150</v>
      </c>
      <c r="D193">
        <v>53350</v>
      </c>
      <c r="E193">
        <f t="shared" si="2"/>
        <v>53350</v>
      </c>
    </row>
    <row r="194" spans="1:5" ht="12.75">
      <c r="A194" s="2" t="str">
        <f>'NORTH FORK'!A62</f>
        <v>Nebraska Percent Of Allocation</v>
      </c>
      <c r="B194" s="72">
        <f>'T2'!H17</f>
        <v>0.489</v>
      </c>
      <c r="C194">
        <v>0.489</v>
      </c>
      <c r="D194">
        <v>0.489</v>
      </c>
      <c r="E194">
        <f t="shared" si="2"/>
        <v>0.489</v>
      </c>
    </row>
    <row r="195" spans="1:5" ht="12.75">
      <c r="A195" s="2" t="str">
        <f>'NORTH FORK'!A63</f>
        <v>Nebraska Allocation</v>
      </c>
      <c r="B195" s="29">
        <f>ROUND(B187*B194,-1)</f>
        <v>44990</v>
      </c>
      <c r="C195">
        <v>82440</v>
      </c>
      <c r="D195">
        <v>51050</v>
      </c>
      <c r="E195">
        <f t="shared" si="2"/>
        <v>51050</v>
      </c>
    </row>
    <row r="196" spans="1:5" ht="12.75">
      <c r="A196" s="2" t="str">
        <f>'NORTH FORK'!A64</f>
        <v>Total Basin Allocation</v>
      </c>
      <c r="B196" s="29">
        <f>+B191+B193+B195</f>
        <v>92010</v>
      </c>
      <c r="C196">
        <v>168590</v>
      </c>
      <c r="D196">
        <v>104400</v>
      </c>
      <c r="E196">
        <f t="shared" si="2"/>
        <v>104400</v>
      </c>
    </row>
    <row r="197" spans="1:5" ht="12.75">
      <c r="A197" s="2" t="str">
        <f>'NORTH FORK'!A65</f>
        <v>Percent Of Supply Not Allocated</v>
      </c>
      <c r="B197" s="15">
        <f>'T2'!J17</f>
        <v>0</v>
      </c>
      <c r="C197">
        <v>0</v>
      </c>
      <c r="D197">
        <v>0</v>
      </c>
      <c r="E197">
        <f t="shared" si="2"/>
        <v>0</v>
      </c>
    </row>
    <row r="198" spans="1:5" ht="12.75">
      <c r="A198" s="2" t="str">
        <f>'NORTH FORK'!A66</f>
        <v>Quantity Of Unallocated Supply</v>
      </c>
      <c r="B198" s="4">
        <f>+B187-B191-B193-B195</f>
        <v>0</v>
      </c>
      <c r="C198">
        <v>0</v>
      </c>
      <c r="D198">
        <v>0</v>
      </c>
      <c r="E198">
        <f>D198</f>
        <v>0</v>
      </c>
    </row>
  </sheetData>
  <printOptions headings="1"/>
  <pageMargins left="0.75" right="0.75" top="0.75" bottom="0.5" header="0.25" footer="0.5"/>
  <pageSetup fitToHeight="4" fitToWidth="1" horizontalDpi="600" verticalDpi="600" orientation="portrait" scale="92" r:id="rId1"/>
  <headerFooter alignWithMargins="0">
    <oddHeader>&amp;LRRCA
Compact Accounting&amp;C&amp;A&amp;RPage &amp;P of &amp;N</oddHeader>
  </headerFooter>
  <rowBreaks count="3" manualBreakCount="3">
    <brk id="48" max="3" man="1"/>
    <brk id="97" max="3" man="1"/>
    <brk id="138" max="3" man="1"/>
  </rowBreaks>
</worksheet>
</file>

<file path=xl/worksheets/sheet16.xml><?xml version="1.0" encoding="utf-8"?>
<worksheet xmlns="http://schemas.openxmlformats.org/spreadsheetml/2006/main" xmlns:r="http://schemas.openxmlformats.org/officeDocument/2006/relationships">
  <sheetPr>
    <pageSetUpPr fitToPage="1"/>
  </sheetPr>
  <dimension ref="A1:L135"/>
  <sheetViews>
    <sheetView workbookViewId="0" topLeftCell="A1">
      <pane xSplit="1" ySplit="3" topLeftCell="H4" activePane="bottomRight" state="frozen"/>
      <selection pane="topLeft" activeCell="A1" sqref="A1"/>
      <selection pane="topRight" activeCell="B1" sqref="B1"/>
      <selection pane="bottomLeft" activeCell="A4" sqref="A4"/>
      <selection pane="bottomRight" activeCell="H26" sqref="H26"/>
    </sheetView>
  </sheetViews>
  <sheetFormatPr defaultColWidth="9.140625" defaultRowHeight="12.75"/>
  <cols>
    <col min="1" max="1" width="20.00390625" style="0" customWidth="1"/>
    <col min="2" max="10" width="11.7109375" style="0" customWidth="1"/>
  </cols>
  <sheetData>
    <row r="1" spans="1:10" ht="12.75">
      <c r="A1" s="334" t="s">
        <v>9</v>
      </c>
      <c r="B1" s="334"/>
      <c r="C1" s="334"/>
      <c r="D1" s="334"/>
      <c r="E1" s="334"/>
      <c r="F1" s="334"/>
      <c r="G1" s="334"/>
      <c r="H1" s="334"/>
      <c r="I1" s="334"/>
      <c r="J1" s="334"/>
    </row>
    <row r="2" spans="1:10" ht="12.75">
      <c r="A2" s="28">
        <f>+INPUT!C1</f>
        <v>2005</v>
      </c>
      <c r="B2" s="335" t="s">
        <v>10</v>
      </c>
      <c r="C2" s="335" t="s">
        <v>11</v>
      </c>
      <c r="D2" s="337" t="s">
        <v>12</v>
      </c>
      <c r="E2" s="337"/>
      <c r="F2" s="337"/>
      <c r="G2" s="337"/>
      <c r="H2" s="337" t="s">
        <v>3</v>
      </c>
      <c r="I2" s="337"/>
      <c r="J2" s="337"/>
    </row>
    <row r="3" spans="1:12" ht="12.75">
      <c r="A3" s="27" t="s">
        <v>7</v>
      </c>
      <c r="B3" s="336"/>
      <c r="C3" s="336"/>
      <c r="D3" s="19" t="s">
        <v>0</v>
      </c>
      <c r="E3" s="19" t="s">
        <v>13</v>
      </c>
      <c r="F3" s="19" t="s">
        <v>1</v>
      </c>
      <c r="G3" s="19" t="s">
        <v>2</v>
      </c>
      <c r="H3" s="19" t="s">
        <v>0</v>
      </c>
      <c r="I3" s="19" t="s">
        <v>13</v>
      </c>
      <c r="J3" s="19" t="s">
        <v>1</v>
      </c>
      <c r="K3" s="306"/>
      <c r="L3" s="307"/>
    </row>
    <row r="4" spans="1:12" ht="12.75">
      <c r="A4" s="20" t="s">
        <v>14</v>
      </c>
      <c r="B4" s="24">
        <f>ROUND('NORTH FORK'!B53,-1)</f>
        <v>44800</v>
      </c>
      <c r="C4" s="24">
        <f>ROUND('NORTH FORK'!B55,-1)</f>
        <v>44800</v>
      </c>
      <c r="D4" s="24">
        <f>ROUND('NORTH FORK'!B59,-1)</f>
        <v>10040</v>
      </c>
      <c r="E4" s="24">
        <f>ROUND('NORTH FORK'!B61,-1)</f>
        <v>0</v>
      </c>
      <c r="F4" s="24">
        <f>ROUND('NORTH FORK'!B63,-1)</f>
        <v>11020</v>
      </c>
      <c r="G4" s="24">
        <f>ROUND('NORTH FORK'!B66,-1)</f>
        <v>23740</v>
      </c>
      <c r="H4" s="24">
        <f>ROUND('NORTH FORK'!B29,-1)</f>
        <v>17530</v>
      </c>
      <c r="I4" s="24">
        <f>ROUND('NORTH FORK'!B33,-1)</f>
        <v>20</v>
      </c>
      <c r="J4" s="24">
        <f>ROUND('NORTH FORK'!B39,-1)</f>
        <v>4290</v>
      </c>
      <c r="K4" s="308"/>
      <c r="L4" s="308"/>
    </row>
    <row r="5" spans="1:12" ht="12.75">
      <c r="A5" s="20" t="s">
        <v>15</v>
      </c>
      <c r="B5" s="24">
        <f>ROUND(ARIKAREE!B65,-1)</f>
        <v>2370</v>
      </c>
      <c r="C5" s="24">
        <f>ROUND(ARIKAREE!B67,-1)</f>
        <v>2370</v>
      </c>
      <c r="D5" s="24">
        <f>+ARIKAREE!B71</f>
        <v>1860</v>
      </c>
      <c r="E5" s="24">
        <f>+ARIKAREE!B73</f>
        <v>120</v>
      </c>
      <c r="F5" s="24">
        <f>+ARIKAREE!B75</f>
        <v>400</v>
      </c>
      <c r="G5" s="24">
        <f>+ARIKAREE!B78</f>
        <v>-10</v>
      </c>
      <c r="H5" s="24">
        <f>ROUND(ARIKAREE!B34,-1)</f>
        <v>810</v>
      </c>
      <c r="I5" s="24">
        <f>ROUND(ARIKAREE!B43,-1)</f>
        <v>160</v>
      </c>
      <c r="J5" s="24">
        <f>ROUND(ARIKAREE!B52,-1)</f>
        <v>250</v>
      </c>
      <c r="K5" s="308"/>
      <c r="L5" s="308"/>
    </row>
    <row r="6" spans="1:12" ht="12.75">
      <c r="A6" s="20" t="s">
        <v>16</v>
      </c>
      <c r="B6" s="24">
        <f>ROUND(BUFFALO!B56,-1)</f>
        <v>6050</v>
      </c>
      <c r="C6" s="24">
        <f>ROUND(BUFFALO!B58,-1)</f>
        <v>6050</v>
      </c>
      <c r="D6" s="24">
        <f>+BUFFALO!B62</f>
        <v>0</v>
      </c>
      <c r="E6" s="24">
        <f>+BUFFALO!B64</f>
        <v>0</v>
      </c>
      <c r="F6" s="24">
        <f>+BUFFALO!B66</f>
        <v>2000</v>
      </c>
      <c r="G6" s="24">
        <f>+BUFFALO!B69</f>
        <v>4050</v>
      </c>
      <c r="H6" s="24">
        <f>ROUND(BUFFALO!B30,-1)</f>
        <v>310</v>
      </c>
      <c r="I6" s="24">
        <f>ROUND(BUFFALO!B34,-1)</f>
        <v>0</v>
      </c>
      <c r="J6" s="24">
        <f>ROUND(BUFFALO!B43,-1)</f>
        <v>3510</v>
      </c>
      <c r="K6" s="308"/>
      <c r="L6" s="308"/>
    </row>
    <row r="7" spans="1:12" ht="12.75">
      <c r="A7" s="20" t="s">
        <v>5</v>
      </c>
      <c r="B7" s="24">
        <f>ROUND(ROCK!B47,-1)</f>
        <v>9360</v>
      </c>
      <c r="C7" s="24">
        <f>ROUND(ROCK!B49,-1)</f>
        <v>9360</v>
      </c>
      <c r="D7" s="24">
        <f>+ROCK!B53</f>
        <v>0</v>
      </c>
      <c r="E7" s="24">
        <f>+ROCK!B55</f>
        <v>0</v>
      </c>
      <c r="F7" s="24">
        <f>+ROCK!B57</f>
        <v>3740</v>
      </c>
      <c r="G7" s="24">
        <f>+ROCK!B60</f>
        <v>5620</v>
      </c>
      <c r="H7" s="24">
        <f>ROUND(ROCK!B21,-1)</f>
        <v>60</v>
      </c>
      <c r="I7" s="24">
        <f>ROUND(ROCK!B25,-1)</f>
        <v>0</v>
      </c>
      <c r="J7" s="24">
        <f>ROUND(ROCK!B34,-1)</f>
        <v>3830</v>
      </c>
      <c r="K7" s="308"/>
      <c r="L7" s="308"/>
    </row>
    <row r="8" spans="1:12" ht="12.75">
      <c r="A8" s="20" t="s">
        <v>17</v>
      </c>
      <c r="B8" s="24">
        <f>ROUND('SOUTH FORK'!B71,-1)</f>
        <v>26050</v>
      </c>
      <c r="C8" s="24">
        <f>ROUND('SOUTH FORK'!B73,-1)</f>
        <v>27550</v>
      </c>
      <c r="D8" s="24">
        <f>+'SOUTH FORK'!B77</f>
        <v>12230</v>
      </c>
      <c r="E8" s="24">
        <f>+'SOUTH FORK'!B79</f>
        <v>11080</v>
      </c>
      <c r="F8" s="24">
        <f>+'SOUTH FORK'!B81</f>
        <v>390</v>
      </c>
      <c r="G8" s="24">
        <f>+'SOUTH FORK'!B84</f>
        <v>3850</v>
      </c>
      <c r="H8" s="24">
        <f>ROUND('SOUTH FORK'!B39,-1)</f>
        <v>18660</v>
      </c>
      <c r="I8" s="24">
        <f>ROUND('SOUTH FORK'!B48,-1)</f>
        <v>7520</v>
      </c>
      <c r="J8" s="24">
        <f>ROUND('SOUTH FORK'!B57,-1)</f>
        <v>1370</v>
      </c>
      <c r="K8" s="308"/>
      <c r="L8" s="308"/>
    </row>
    <row r="9" spans="1:12" ht="12.75">
      <c r="A9" s="20" t="s">
        <v>18</v>
      </c>
      <c r="B9" s="24">
        <f>ROUND(FRENCHMAN!B65,-1)</f>
        <v>110950</v>
      </c>
      <c r="C9" s="24">
        <f>ROUND(FRENCHMAN!B67,-1)</f>
        <v>110950</v>
      </c>
      <c r="D9" s="24">
        <f>+FRENCHMAN!B71</f>
        <v>0</v>
      </c>
      <c r="E9" s="24">
        <f>+FRENCHMAN!B73</f>
        <v>0</v>
      </c>
      <c r="F9" s="24">
        <f>+FRENCHMAN!B75</f>
        <v>59470</v>
      </c>
      <c r="G9" s="24">
        <f>+FRENCHMAN!B78</f>
        <v>51480</v>
      </c>
      <c r="H9" s="24">
        <f>ROUND(FRENCHMAN!B31,-1)</f>
        <v>40</v>
      </c>
      <c r="I9" s="24">
        <f>ROUND(FRENCHMAN!B35,-1)</f>
        <v>0</v>
      </c>
      <c r="J9" s="24">
        <f>ROUND(FRENCHMAN!B49,-1)</f>
        <v>86800</v>
      </c>
      <c r="K9" s="308"/>
      <c r="L9" s="308"/>
    </row>
    <row r="10" spans="1:12" ht="12.75">
      <c r="A10" s="20" t="s">
        <v>19</v>
      </c>
      <c r="B10" s="24">
        <f>ROUND(DRIFTWOOD!B61,-1)</f>
        <v>3400</v>
      </c>
      <c r="C10" s="24">
        <f>ROUND(DRIFTWOOD!B63,-1)</f>
        <v>3400</v>
      </c>
      <c r="D10" s="24">
        <f>+DRIFTWOOD!B67</f>
        <v>0</v>
      </c>
      <c r="E10" s="24">
        <f>+DRIFTWOOD!B69</f>
        <v>230</v>
      </c>
      <c r="F10" s="24">
        <f>+DRIFTWOOD!B71</f>
        <v>560</v>
      </c>
      <c r="G10" s="24">
        <f>+DRIFTWOOD!B74</f>
        <v>2610</v>
      </c>
      <c r="H10" s="24">
        <f>ROUND(DRIFTWOOD!B29,-1)</f>
        <v>0</v>
      </c>
      <c r="I10" s="24">
        <f>ROUND(DRIFTWOOD!B38,-1)</f>
        <v>10</v>
      </c>
      <c r="J10" s="24">
        <f>ROUND(DRIFTWOOD!B47,-1)</f>
        <v>1480</v>
      </c>
      <c r="K10" s="308"/>
      <c r="L10" s="308"/>
    </row>
    <row r="11" spans="1:12" ht="12.75">
      <c r="A11" s="20" t="s">
        <v>20</v>
      </c>
      <c r="B11" s="24">
        <f>ROUND('RED WILLOW'!B59,-1)</f>
        <v>16360</v>
      </c>
      <c r="C11" s="24">
        <f>ROUND('RED WILLOW'!B61,-1)</f>
        <v>14560</v>
      </c>
      <c r="D11" s="24">
        <f>+'RED WILLOW'!B65</f>
        <v>0</v>
      </c>
      <c r="E11" s="24">
        <f>+'RED WILLOW'!B67</f>
        <v>0</v>
      </c>
      <c r="F11" s="24">
        <f>+'RED WILLOW'!B69</f>
        <v>2800</v>
      </c>
      <c r="G11" s="24">
        <f>+'RED WILLOW'!B72</f>
        <v>11760</v>
      </c>
      <c r="H11" s="24">
        <f>ROUND('RED WILLOW'!B27,-1)</f>
        <v>0</v>
      </c>
      <c r="I11" s="24">
        <f>ROUND('RED WILLOW'!B31,-1)</f>
        <v>0</v>
      </c>
      <c r="J11" s="24">
        <f>ROUND('RED WILLOW'!B42,-1)</f>
        <v>8800</v>
      </c>
      <c r="K11" s="308"/>
      <c r="L11" s="308"/>
    </row>
    <row r="12" spans="1:12" ht="12.75">
      <c r="A12" s="20" t="s">
        <v>21</v>
      </c>
      <c r="B12" s="24">
        <f>ROUND('MEDICINE CREEK'!B64,-1)</f>
        <v>39990</v>
      </c>
      <c r="C12" s="24">
        <f>ROUND('MEDICINE CREEK'!B66,-1)</f>
        <v>34390</v>
      </c>
      <c r="D12" s="24">
        <f>+'MEDICINE CREEK'!B70</f>
        <v>0</v>
      </c>
      <c r="E12" s="24">
        <f>+'MEDICINE CREEK'!B72</f>
        <v>0</v>
      </c>
      <c r="F12" s="24">
        <f>+'MEDICINE CREEK'!B74</f>
        <v>3130</v>
      </c>
      <c r="G12" s="24">
        <f>+'MEDICINE CREEK'!B77</f>
        <v>31260</v>
      </c>
      <c r="H12" s="24">
        <f>ROUND('MEDICINE CREEK'!B27,-1)</f>
        <v>0</v>
      </c>
      <c r="I12" s="24">
        <f>ROUND('MEDICINE CREEK'!B31,-1)</f>
        <v>0</v>
      </c>
      <c r="J12" s="24">
        <f>ROUND('MEDICINE CREEK'!B44,-1)</f>
        <v>21320</v>
      </c>
      <c r="K12" s="308"/>
      <c r="L12" s="308"/>
    </row>
    <row r="13" spans="1:12" ht="12.75">
      <c r="A13" s="20" t="s">
        <v>22</v>
      </c>
      <c r="B13" s="24">
        <f>ROUND(BEAVER!B78,-1)</f>
        <v>4560</v>
      </c>
      <c r="C13" s="24">
        <f>ROUND(BEAVER!B80,-1)</f>
        <v>4560</v>
      </c>
      <c r="D13" s="24">
        <f>+BEAVER!B84</f>
        <v>910</v>
      </c>
      <c r="E13" s="24">
        <f>+BEAVER!B86</f>
        <v>1770</v>
      </c>
      <c r="F13" s="24">
        <f>+BEAVER!B88</f>
        <v>1850</v>
      </c>
      <c r="G13" s="24">
        <f>+BEAVER!B91</f>
        <v>30</v>
      </c>
      <c r="H13" s="24">
        <f>ROUND(BEAVER!B38,-1)</f>
        <v>0</v>
      </c>
      <c r="I13" s="24">
        <f>ROUND(BEAVER!B47,-1)</f>
        <v>1660</v>
      </c>
      <c r="J13" s="24">
        <f>ROUND(BEAVER!B60,-1)</f>
        <v>2730</v>
      </c>
      <c r="K13" s="308"/>
      <c r="L13" s="308"/>
    </row>
    <row r="14" spans="1:12" ht="12.75">
      <c r="A14" s="20" t="s">
        <v>23</v>
      </c>
      <c r="B14" s="24">
        <f>ROUND(SAPPA!B72,-1)</f>
        <v>-310</v>
      </c>
      <c r="C14" s="24">
        <f>ROUND(SAPPA!B74,-1)</f>
        <v>-310</v>
      </c>
      <c r="D14" s="24">
        <f>+SAPPA!B78</f>
        <v>0</v>
      </c>
      <c r="E14" s="24">
        <f>+SAPPA!B80</f>
        <v>-130</v>
      </c>
      <c r="F14" s="24">
        <f>+SAPPA!B82</f>
        <v>-130</v>
      </c>
      <c r="G14" s="24">
        <f>+SAPPA!B85</f>
        <v>-50</v>
      </c>
      <c r="H14" s="24">
        <f>ROUND(SAPPA!B30,-1)</f>
        <v>0</v>
      </c>
      <c r="I14" s="24">
        <f>ROUND(SAPPA!B39,-1)</f>
        <v>-1180</v>
      </c>
      <c r="J14" s="24">
        <f>ROUND(SAPPA!B53,-1)</f>
        <v>790</v>
      </c>
      <c r="K14" s="308"/>
      <c r="L14" s="308"/>
    </row>
    <row r="15" spans="1:12" ht="12.75">
      <c r="A15" s="20" t="s">
        <v>24</v>
      </c>
      <c r="B15" s="24">
        <f>ROUND('PRAIRIE DOG'!B70,-1)</f>
        <v>11720</v>
      </c>
      <c r="C15" s="24">
        <f>ROUND('PRAIRIE DOG'!B72,-1)</f>
        <v>11620</v>
      </c>
      <c r="D15" s="24">
        <f>+'PRAIRIE DOG'!B76</f>
        <v>0</v>
      </c>
      <c r="E15" s="24">
        <f>+'PRAIRIE DOG'!B78</f>
        <v>5310</v>
      </c>
      <c r="F15" s="24">
        <f>+'PRAIRIE DOG'!B80</f>
        <v>880</v>
      </c>
      <c r="G15" s="24">
        <f>+'PRAIRIE DOG'!B83</f>
        <v>5430</v>
      </c>
      <c r="H15" s="24">
        <f>ROUND('PRAIRIE DOG'!B31,-1)</f>
        <v>0</v>
      </c>
      <c r="I15" s="24">
        <f>ROUND('PRAIRIE DOG'!B42,-1)</f>
        <v>8180</v>
      </c>
      <c r="J15" s="82">
        <f>ROUND('PRAIRIE DOG'!B66,-1)</f>
        <v>40</v>
      </c>
      <c r="K15" s="308"/>
      <c r="L15" s="308"/>
    </row>
    <row r="16" spans="1:12" ht="13.5" thickBot="1">
      <c r="A16" s="21" t="s">
        <v>6</v>
      </c>
      <c r="B16" s="25">
        <f>ROUND(MAINSTEM!B185,-1)</f>
        <v>117610</v>
      </c>
      <c r="C16" s="25">
        <f>ROUND(MAINSTEM!B187,-1)</f>
        <v>92010</v>
      </c>
      <c r="D16" s="25">
        <f>+MAINSTEM!B191</f>
        <v>0</v>
      </c>
      <c r="E16" s="25">
        <f>+MAINSTEM!B193</f>
        <v>47020</v>
      </c>
      <c r="F16" s="25">
        <f>+MAINSTEM!B195</f>
        <v>44990</v>
      </c>
      <c r="G16" s="25">
        <f>+MAINSTEM!B198</f>
        <v>0</v>
      </c>
      <c r="H16" s="25">
        <f>ROUND(MAINSTEM!B101,-1)</f>
        <v>-1950</v>
      </c>
      <c r="I16" s="25">
        <f>ROUND(MAINSTEM!B116,-1)</f>
        <v>27940</v>
      </c>
      <c r="J16" s="25">
        <f>ROUND(MAINSTEM!B138,-1)</f>
        <v>118530</v>
      </c>
      <c r="K16" s="308"/>
      <c r="L16" s="308"/>
    </row>
    <row r="17" spans="1:12" ht="13.5" thickTop="1">
      <c r="A17" s="22" t="s">
        <v>8</v>
      </c>
      <c r="B17" s="26">
        <f>SUM(B4:B16)</f>
        <v>392910</v>
      </c>
      <c r="C17" s="26">
        <f aca="true" t="shared" si="0" ref="C17:J17">SUM(C4:C16)</f>
        <v>361310</v>
      </c>
      <c r="D17" s="26">
        <f t="shared" si="0"/>
        <v>25040</v>
      </c>
      <c r="E17" s="26">
        <f t="shared" si="0"/>
        <v>65400</v>
      </c>
      <c r="F17" s="26">
        <f t="shared" si="0"/>
        <v>131100</v>
      </c>
      <c r="G17" s="26">
        <f t="shared" si="0"/>
        <v>139770</v>
      </c>
      <c r="H17" s="26">
        <f t="shared" si="0"/>
        <v>35460</v>
      </c>
      <c r="I17" s="26">
        <f t="shared" si="0"/>
        <v>44310</v>
      </c>
      <c r="J17" s="26">
        <f t="shared" si="0"/>
        <v>253740</v>
      </c>
      <c r="K17" s="308"/>
      <c r="L17" s="308"/>
    </row>
    <row r="18" spans="1:10" ht="35.25" customHeight="1" thickBot="1">
      <c r="A18" s="23" t="s">
        <v>25</v>
      </c>
      <c r="B18" s="25"/>
      <c r="C18" s="25">
        <f>+C16+G17</f>
        <v>231780</v>
      </c>
      <c r="D18" s="25">
        <f>+D16</f>
        <v>0</v>
      </c>
      <c r="E18" s="25">
        <f>E16+ROUND(G17*0.511,-1)</f>
        <v>118440</v>
      </c>
      <c r="F18" s="25">
        <f>F16+ROUND(G17*0.489,-1)</f>
        <v>113340</v>
      </c>
      <c r="G18" s="25"/>
      <c r="H18" s="25"/>
      <c r="I18" s="25"/>
      <c r="J18" s="25"/>
    </row>
    <row r="19" spans="1:12" ht="13.5" thickTop="1">
      <c r="A19" s="22" t="s">
        <v>4</v>
      </c>
      <c r="B19" s="26">
        <f>SUM(B4:B16)</f>
        <v>392910</v>
      </c>
      <c r="C19" s="26">
        <f>SUM(C4:C16)</f>
        <v>361310</v>
      </c>
      <c r="D19" s="26">
        <f>SUM(D4:D15,D18)</f>
        <v>25040</v>
      </c>
      <c r="E19" s="26">
        <f>SUM(E4:E15,E18)</f>
        <v>136820</v>
      </c>
      <c r="F19" s="26">
        <f>SUM(F4:F15,F18)</f>
        <v>199450</v>
      </c>
      <c r="G19" s="26">
        <f>+G18</f>
        <v>0</v>
      </c>
      <c r="H19" s="26">
        <f>SUM(H4:H16)</f>
        <v>35460</v>
      </c>
      <c r="I19" s="26">
        <f>SUM(I4:I16)</f>
        <v>44310</v>
      </c>
      <c r="J19" s="329">
        <f>SUM(J4:J16)</f>
        <v>253740</v>
      </c>
      <c r="K19" s="308"/>
      <c r="L19" s="308"/>
    </row>
    <row r="20" spans="2:12" ht="12.75">
      <c r="B20" s="328"/>
      <c r="C20" s="328"/>
      <c r="D20" s="328"/>
      <c r="E20" s="328"/>
      <c r="F20" s="328"/>
      <c r="G20" s="328"/>
      <c r="H20" s="328"/>
      <c r="I20" s="328"/>
      <c r="J20" s="330"/>
      <c r="K20" s="308"/>
      <c r="L20" s="308"/>
    </row>
    <row r="21" ht="12.75">
      <c r="A21" s="333" t="s">
        <v>594</v>
      </c>
    </row>
    <row r="23" ht="12.75">
      <c r="A23" s="312"/>
    </row>
    <row r="24" ht="12.75">
      <c r="A24" s="333"/>
    </row>
    <row r="25" ht="12.75">
      <c r="A25" s="312" t="s">
        <v>574</v>
      </c>
    </row>
    <row r="27" spans="1:2" ht="12.75">
      <c r="A27" s="3" t="s">
        <v>551</v>
      </c>
      <c r="B27" s="3">
        <v>2003</v>
      </c>
    </row>
    <row r="29" spans="1:10" ht="12.75">
      <c r="A29" s="334" t="s">
        <v>9</v>
      </c>
      <c r="B29" s="334"/>
      <c r="C29" s="334"/>
      <c r="D29" s="334"/>
      <c r="E29" s="334"/>
      <c r="F29" s="334"/>
      <c r="G29" s="334"/>
      <c r="H29" s="334"/>
      <c r="I29" s="334"/>
      <c r="J29" s="334"/>
    </row>
    <row r="30" spans="1:10" ht="12.75">
      <c r="A30" s="28">
        <v>2003</v>
      </c>
      <c r="B30" s="335" t="s">
        <v>10</v>
      </c>
      <c r="C30" s="335" t="s">
        <v>11</v>
      </c>
      <c r="D30" s="337" t="s">
        <v>12</v>
      </c>
      <c r="E30" s="337"/>
      <c r="F30" s="337"/>
      <c r="G30" s="337"/>
      <c r="H30" s="337" t="s">
        <v>3</v>
      </c>
      <c r="I30" s="337"/>
      <c r="J30" s="337"/>
    </row>
    <row r="31" spans="1:10" ht="12.75">
      <c r="A31" s="27" t="s">
        <v>7</v>
      </c>
      <c r="B31" s="336"/>
      <c r="C31" s="336"/>
      <c r="D31" s="19" t="s">
        <v>0</v>
      </c>
      <c r="E31" s="19" t="s">
        <v>13</v>
      </c>
      <c r="F31" s="19" t="s">
        <v>1</v>
      </c>
      <c r="G31" s="19" t="s">
        <v>2</v>
      </c>
      <c r="H31" s="19" t="s">
        <v>0</v>
      </c>
      <c r="I31" s="19" t="s">
        <v>13</v>
      </c>
      <c r="J31" s="19" t="s">
        <v>1</v>
      </c>
    </row>
    <row r="32" spans="1:10" ht="12.75">
      <c r="A32" s="20" t="s">
        <v>14</v>
      </c>
      <c r="B32" s="24">
        <v>40730</v>
      </c>
      <c r="C32" s="24">
        <v>40730</v>
      </c>
      <c r="D32" s="24">
        <v>9120</v>
      </c>
      <c r="E32" s="24">
        <v>0</v>
      </c>
      <c r="F32" s="24">
        <v>10020</v>
      </c>
      <c r="G32" s="24">
        <v>21590</v>
      </c>
      <c r="H32" s="24">
        <v>16640</v>
      </c>
      <c r="I32" s="24">
        <v>20</v>
      </c>
      <c r="J32" s="24">
        <v>4380</v>
      </c>
    </row>
    <row r="33" spans="1:10" ht="12.75">
      <c r="A33" s="20" t="s">
        <v>15</v>
      </c>
      <c r="B33" s="24">
        <v>1910</v>
      </c>
      <c r="C33" s="24">
        <v>1910</v>
      </c>
      <c r="D33" s="24">
        <v>1500</v>
      </c>
      <c r="E33" s="24">
        <v>100</v>
      </c>
      <c r="F33" s="24">
        <v>320</v>
      </c>
      <c r="G33" s="24">
        <v>-10</v>
      </c>
      <c r="H33" s="24">
        <v>240</v>
      </c>
      <c r="I33" s="24">
        <v>100</v>
      </c>
      <c r="J33" s="24">
        <v>510</v>
      </c>
    </row>
    <row r="34" spans="1:10" ht="12.75">
      <c r="A34" s="20" t="s">
        <v>16</v>
      </c>
      <c r="B34" s="24">
        <v>6100</v>
      </c>
      <c r="C34" s="24">
        <v>6100</v>
      </c>
      <c r="D34" s="24">
        <v>0</v>
      </c>
      <c r="E34" s="24">
        <v>0</v>
      </c>
      <c r="F34" s="24">
        <v>2010</v>
      </c>
      <c r="G34" s="24">
        <v>4090</v>
      </c>
      <c r="H34" s="24">
        <v>270</v>
      </c>
      <c r="I34" s="24">
        <v>0</v>
      </c>
      <c r="J34" s="24">
        <v>3740</v>
      </c>
    </row>
    <row r="35" spans="1:10" ht="12.75">
      <c r="A35" s="20" t="s">
        <v>5</v>
      </c>
      <c r="B35" s="24">
        <v>8190</v>
      </c>
      <c r="C35" s="24">
        <v>8190</v>
      </c>
      <c r="D35" s="24">
        <v>0</v>
      </c>
      <c r="E35" s="24">
        <v>0</v>
      </c>
      <c r="F35" s="24">
        <v>3280</v>
      </c>
      <c r="G35" s="24">
        <v>4910</v>
      </c>
      <c r="H35" s="24">
        <v>60</v>
      </c>
      <c r="I35" s="24">
        <v>0</v>
      </c>
      <c r="J35" s="24">
        <v>3420</v>
      </c>
    </row>
    <row r="36" spans="1:10" ht="12.75">
      <c r="A36" s="20" t="s">
        <v>17</v>
      </c>
      <c r="B36" s="24">
        <v>21500</v>
      </c>
      <c r="C36" s="24">
        <v>23730</v>
      </c>
      <c r="D36" s="24">
        <v>10540</v>
      </c>
      <c r="E36" s="24">
        <v>9540</v>
      </c>
      <c r="F36" s="24">
        <v>330</v>
      </c>
      <c r="G36" s="24">
        <v>3320</v>
      </c>
      <c r="H36" s="24">
        <v>16090</v>
      </c>
      <c r="I36" s="24">
        <v>5380</v>
      </c>
      <c r="J36" s="24">
        <v>1350</v>
      </c>
    </row>
    <row r="37" spans="1:10" ht="12.75">
      <c r="A37" s="20" t="s">
        <v>18</v>
      </c>
      <c r="B37" s="24">
        <v>105700</v>
      </c>
      <c r="C37" s="24">
        <v>105920</v>
      </c>
      <c r="D37" s="24">
        <v>0</v>
      </c>
      <c r="E37" s="24">
        <v>0</v>
      </c>
      <c r="F37" s="24">
        <v>56770</v>
      </c>
      <c r="G37" s="24">
        <v>49150</v>
      </c>
      <c r="H37" s="24">
        <v>40</v>
      </c>
      <c r="I37" s="24">
        <v>0</v>
      </c>
      <c r="J37" s="24">
        <v>91760</v>
      </c>
    </row>
    <row r="38" spans="1:10" ht="12.75">
      <c r="A38" s="20" t="s">
        <v>19</v>
      </c>
      <c r="B38" s="24">
        <v>2490</v>
      </c>
      <c r="C38" s="24">
        <v>2490</v>
      </c>
      <c r="D38" s="24">
        <v>0</v>
      </c>
      <c r="E38" s="24">
        <v>170</v>
      </c>
      <c r="F38" s="24">
        <v>410</v>
      </c>
      <c r="G38" s="24">
        <v>1910</v>
      </c>
      <c r="H38" s="24">
        <v>0</v>
      </c>
      <c r="I38" s="24">
        <v>0</v>
      </c>
      <c r="J38" s="24">
        <v>1390</v>
      </c>
    </row>
    <row r="39" spans="1:10" ht="12.75">
      <c r="A39" s="20" t="s">
        <v>20</v>
      </c>
      <c r="B39" s="24">
        <v>17350</v>
      </c>
      <c r="C39" s="24">
        <v>14400</v>
      </c>
      <c r="D39" s="24">
        <v>0</v>
      </c>
      <c r="E39" s="24">
        <v>0</v>
      </c>
      <c r="F39" s="24">
        <v>2760</v>
      </c>
      <c r="G39" s="24">
        <v>11640</v>
      </c>
      <c r="H39" s="24">
        <v>0</v>
      </c>
      <c r="I39" s="24">
        <v>0</v>
      </c>
      <c r="J39" s="24">
        <v>8310</v>
      </c>
    </row>
    <row r="40" spans="1:10" ht="12.75">
      <c r="A40" s="20" t="s">
        <v>21</v>
      </c>
      <c r="B40" s="24">
        <v>38930</v>
      </c>
      <c r="C40" s="24">
        <v>35550</v>
      </c>
      <c r="D40" s="24">
        <v>0</v>
      </c>
      <c r="E40" s="24">
        <v>0</v>
      </c>
      <c r="F40" s="24">
        <v>3240</v>
      </c>
      <c r="G40" s="24">
        <v>32310</v>
      </c>
      <c r="H40" s="24">
        <v>0</v>
      </c>
      <c r="I40" s="24">
        <v>0</v>
      </c>
      <c r="J40" s="24">
        <v>21440</v>
      </c>
    </row>
    <row r="41" spans="1:10" ht="12.75">
      <c r="A41" s="20" t="s">
        <v>22</v>
      </c>
      <c r="B41" s="24">
        <v>1290</v>
      </c>
      <c r="C41" s="24">
        <v>1290</v>
      </c>
      <c r="D41" s="24">
        <v>260</v>
      </c>
      <c r="E41" s="24">
        <v>500</v>
      </c>
      <c r="F41" s="24">
        <v>520</v>
      </c>
      <c r="G41" s="24">
        <v>10</v>
      </c>
      <c r="H41" s="24">
        <v>0</v>
      </c>
      <c r="I41" s="24">
        <v>290</v>
      </c>
      <c r="J41" s="24">
        <v>780</v>
      </c>
    </row>
    <row r="42" spans="1:10" ht="12.75">
      <c r="A42" s="20" t="s">
        <v>23</v>
      </c>
      <c r="B42" s="24">
        <v>190</v>
      </c>
      <c r="C42" s="24">
        <v>190</v>
      </c>
      <c r="D42" s="24">
        <v>0</v>
      </c>
      <c r="E42" s="24">
        <v>80</v>
      </c>
      <c r="F42" s="24">
        <v>80</v>
      </c>
      <c r="G42" s="24">
        <v>30</v>
      </c>
      <c r="H42" s="24">
        <v>0</v>
      </c>
      <c r="I42" s="24">
        <v>-260</v>
      </c>
      <c r="J42" s="24">
        <v>510</v>
      </c>
    </row>
    <row r="43" spans="1:10" ht="12.75">
      <c r="A43" s="20" t="s">
        <v>24</v>
      </c>
      <c r="B43" s="24">
        <v>3350</v>
      </c>
      <c r="C43" s="24">
        <v>7690</v>
      </c>
      <c r="D43" s="24">
        <v>0</v>
      </c>
      <c r="E43" s="24">
        <v>3510</v>
      </c>
      <c r="F43" s="24">
        <v>580</v>
      </c>
      <c r="G43" s="24">
        <v>3600</v>
      </c>
      <c r="H43" s="24">
        <v>0</v>
      </c>
      <c r="I43" s="24">
        <v>6600</v>
      </c>
      <c r="J43" s="82">
        <v>40</v>
      </c>
    </row>
    <row r="44" spans="1:10" ht="13.5" thickBot="1">
      <c r="A44" s="21" t="s">
        <v>6</v>
      </c>
      <c r="B44" s="25">
        <v>126210</v>
      </c>
      <c r="C44" s="25">
        <v>168590</v>
      </c>
      <c r="D44" s="25">
        <v>0</v>
      </c>
      <c r="E44" s="25">
        <v>86150</v>
      </c>
      <c r="F44" s="25">
        <v>82440</v>
      </c>
      <c r="G44" s="25">
        <v>0</v>
      </c>
      <c r="H44" s="25">
        <v>130</v>
      </c>
      <c r="I44" s="25">
        <v>36780</v>
      </c>
      <c r="J44" s="25">
        <v>125150</v>
      </c>
    </row>
    <row r="45" spans="1:10" ht="13.5" thickTop="1">
      <c r="A45" s="22" t="s">
        <v>8</v>
      </c>
      <c r="B45" s="26">
        <v>373940</v>
      </c>
      <c r="C45" s="26">
        <v>416780</v>
      </c>
      <c r="D45" s="26">
        <v>21420</v>
      </c>
      <c r="E45" s="26">
        <v>100050</v>
      </c>
      <c r="F45" s="26">
        <v>162760</v>
      </c>
      <c r="G45" s="26">
        <v>132550</v>
      </c>
      <c r="H45" s="26">
        <v>33470</v>
      </c>
      <c r="I45" s="26">
        <v>48910</v>
      </c>
      <c r="J45" s="26">
        <v>262780</v>
      </c>
    </row>
    <row r="46" spans="1:10" ht="24.75" thickBot="1">
      <c r="A46" s="23" t="s">
        <v>25</v>
      </c>
      <c r="B46" s="25"/>
      <c r="C46" s="25">
        <v>301140</v>
      </c>
      <c r="D46" s="25">
        <v>0</v>
      </c>
      <c r="E46" s="25">
        <v>153880</v>
      </c>
      <c r="F46" s="25">
        <v>147260</v>
      </c>
      <c r="G46" s="25"/>
      <c r="H46" s="25"/>
      <c r="I46" s="25"/>
      <c r="J46" s="25"/>
    </row>
    <row r="47" spans="1:10" ht="13.5" thickTop="1">
      <c r="A47" s="22" t="s">
        <v>4</v>
      </c>
      <c r="B47" s="26">
        <v>373940</v>
      </c>
      <c r="C47" s="26">
        <v>416780</v>
      </c>
      <c r="D47" s="26">
        <v>21420</v>
      </c>
      <c r="E47" s="26">
        <v>167780</v>
      </c>
      <c r="F47" s="26">
        <v>227580</v>
      </c>
      <c r="G47" s="26">
        <v>0</v>
      </c>
      <c r="H47" s="26">
        <v>33470</v>
      </c>
      <c r="I47" s="26">
        <v>48910</v>
      </c>
      <c r="J47" s="26">
        <v>262780</v>
      </c>
    </row>
    <row r="49" spans="1:2" ht="12.75">
      <c r="A49" s="312" t="s">
        <v>552</v>
      </c>
      <c r="B49" s="3">
        <v>2004</v>
      </c>
    </row>
    <row r="51" spans="1:10" ht="12.75">
      <c r="A51" s="334" t="s">
        <v>9</v>
      </c>
      <c r="B51" s="334"/>
      <c r="C51" s="334"/>
      <c r="D51" s="334"/>
      <c r="E51" s="334"/>
      <c r="F51" s="334"/>
      <c r="G51" s="334"/>
      <c r="H51" s="334"/>
      <c r="I51" s="334"/>
      <c r="J51" s="334"/>
    </row>
    <row r="52" spans="1:10" ht="12.75">
      <c r="A52" s="28">
        <v>2004</v>
      </c>
      <c r="B52" s="335" t="s">
        <v>10</v>
      </c>
      <c r="C52" s="335" t="s">
        <v>11</v>
      </c>
      <c r="D52" s="337" t="s">
        <v>12</v>
      </c>
      <c r="E52" s="337"/>
      <c r="F52" s="337"/>
      <c r="G52" s="337"/>
      <c r="H52" s="337" t="s">
        <v>3</v>
      </c>
      <c r="I52" s="337"/>
      <c r="J52" s="337"/>
    </row>
    <row r="53" spans="1:10" ht="12.75">
      <c r="A53" s="27" t="s">
        <v>7</v>
      </c>
      <c r="B53" s="336"/>
      <c r="C53" s="336"/>
      <c r="D53" s="19" t="s">
        <v>0</v>
      </c>
      <c r="E53" s="19" t="s">
        <v>13</v>
      </c>
      <c r="F53" s="19" t="s">
        <v>1</v>
      </c>
      <c r="G53" s="19" t="s">
        <v>2</v>
      </c>
      <c r="H53" s="19" t="s">
        <v>0</v>
      </c>
      <c r="I53" s="19" t="s">
        <v>13</v>
      </c>
      <c r="J53" s="19" t="s">
        <v>1</v>
      </c>
    </row>
    <row r="54" spans="1:10" ht="12.75">
      <c r="A54" s="20" t="s">
        <v>14</v>
      </c>
      <c r="B54" s="24">
        <v>42360</v>
      </c>
      <c r="C54" s="24">
        <v>42360</v>
      </c>
      <c r="D54" s="24">
        <v>9490</v>
      </c>
      <c r="E54" s="24">
        <v>0</v>
      </c>
      <c r="F54" s="24">
        <v>10420</v>
      </c>
      <c r="G54" s="24">
        <v>22450</v>
      </c>
      <c r="H54" s="24">
        <v>17400</v>
      </c>
      <c r="I54" s="24">
        <v>20</v>
      </c>
      <c r="J54" s="24">
        <v>3690</v>
      </c>
    </row>
    <row r="55" spans="1:10" ht="12.75">
      <c r="A55" s="20" t="s">
        <v>15</v>
      </c>
      <c r="B55" s="24">
        <v>1280</v>
      </c>
      <c r="C55" s="24">
        <v>1280</v>
      </c>
      <c r="D55" s="24">
        <v>1000</v>
      </c>
      <c r="E55" s="24">
        <v>70</v>
      </c>
      <c r="F55" s="24">
        <v>220</v>
      </c>
      <c r="G55" s="24">
        <v>-10</v>
      </c>
      <c r="H55" s="24">
        <v>350</v>
      </c>
      <c r="I55" s="24">
        <v>160</v>
      </c>
      <c r="J55" s="24">
        <v>430</v>
      </c>
    </row>
    <row r="56" spans="1:10" ht="12.75">
      <c r="A56" s="20" t="s">
        <v>16</v>
      </c>
      <c r="B56" s="24">
        <v>6170</v>
      </c>
      <c r="C56" s="24">
        <v>6170</v>
      </c>
      <c r="D56" s="24">
        <v>0</v>
      </c>
      <c r="E56" s="24">
        <v>0</v>
      </c>
      <c r="F56" s="24">
        <v>2040</v>
      </c>
      <c r="G56" s="24">
        <v>4130</v>
      </c>
      <c r="H56" s="24">
        <v>290</v>
      </c>
      <c r="I56" s="24">
        <v>0</v>
      </c>
      <c r="J56" s="24">
        <v>3600</v>
      </c>
    </row>
    <row r="57" spans="1:10" ht="12.75">
      <c r="A57" s="20" t="s">
        <v>5</v>
      </c>
      <c r="B57" s="24">
        <v>9130</v>
      </c>
      <c r="C57" s="24">
        <v>9130</v>
      </c>
      <c r="D57" s="24">
        <v>0</v>
      </c>
      <c r="E57" s="24">
        <v>0</v>
      </c>
      <c r="F57" s="24">
        <v>3650</v>
      </c>
      <c r="G57" s="24">
        <v>5480</v>
      </c>
      <c r="H57" s="24">
        <v>60</v>
      </c>
      <c r="I57" s="24">
        <v>0</v>
      </c>
      <c r="J57" s="24">
        <v>3650</v>
      </c>
    </row>
    <row r="58" spans="1:10" ht="12.75">
      <c r="A58" s="20" t="s">
        <v>17</v>
      </c>
      <c r="B58" s="24">
        <v>21180</v>
      </c>
      <c r="C58" s="24">
        <v>24080</v>
      </c>
      <c r="D58" s="24">
        <v>10690</v>
      </c>
      <c r="E58" s="24">
        <v>9680</v>
      </c>
      <c r="F58" s="24">
        <v>340</v>
      </c>
      <c r="G58" s="24">
        <v>3370</v>
      </c>
      <c r="H58" s="24">
        <v>16800</v>
      </c>
      <c r="I58" s="24">
        <v>6080</v>
      </c>
      <c r="J58" s="24">
        <v>1200</v>
      </c>
    </row>
    <row r="59" spans="1:10" ht="12.75">
      <c r="A59" s="20" t="s">
        <v>18</v>
      </c>
      <c r="B59" s="24">
        <v>116020</v>
      </c>
      <c r="C59" s="24">
        <v>115720</v>
      </c>
      <c r="D59" s="24">
        <v>0</v>
      </c>
      <c r="E59" s="24">
        <v>0</v>
      </c>
      <c r="F59" s="24">
        <v>62030</v>
      </c>
      <c r="G59" s="24">
        <v>53690</v>
      </c>
      <c r="H59" s="24">
        <v>40</v>
      </c>
      <c r="I59" s="24">
        <v>0</v>
      </c>
      <c r="J59" s="24">
        <v>94780</v>
      </c>
    </row>
    <row r="60" spans="1:10" ht="12.75">
      <c r="A60" s="20" t="s">
        <v>19</v>
      </c>
      <c r="B60" s="24">
        <v>2710</v>
      </c>
      <c r="C60" s="24">
        <v>2710</v>
      </c>
      <c r="D60" s="24">
        <v>0</v>
      </c>
      <c r="E60" s="24">
        <v>190</v>
      </c>
      <c r="F60" s="24">
        <v>440</v>
      </c>
      <c r="G60" s="24">
        <v>2080</v>
      </c>
      <c r="H60" s="24">
        <v>0</v>
      </c>
      <c r="I60" s="24">
        <v>10</v>
      </c>
      <c r="J60" s="24">
        <v>1500</v>
      </c>
    </row>
    <row r="61" spans="1:10" ht="12.75">
      <c r="A61" s="20" t="s">
        <v>20</v>
      </c>
      <c r="B61" s="24">
        <v>16850</v>
      </c>
      <c r="C61" s="24">
        <v>14050</v>
      </c>
      <c r="D61" s="24">
        <v>0</v>
      </c>
      <c r="E61" s="24">
        <v>0</v>
      </c>
      <c r="F61" s="24">
        <v>2700</v>
      </c>
      <c r="G61" s="24">
        <v>11350</v>
      </c>
      <c r="H61" s="24">
        <v>0</v>
      </c>
      <c r="I61" s="24">
        <v>0</v>
      </c>
      <c r="J61" s="24">
        <v>8700</v>
      </c>
    </row>
    <row r="62" spans="1:10" ht="12.75">
      <c r="A62" s="20" t="s">
        <v>21</v>
      </c>
      <c r="B62" s="24">
        <v>37260</v>
      </c>
      <c r="C62" s="24">
        <v>37560</v>
      </c>
      <c r="D62" s="24">
        <v>0</v>
      </c>
      <c r="E62" s="24">
        <v>0</v>
      </c>
      <c r="F62" s="24">
        <v>3420</v>
      </c>
      <c r="G62" s="24">
        <v>34140</v>
      </c>
      <c r="H62" s="24">
        <v>0</v>
      </c>
      <c r="I62" s="24">
        <v>0</v>
      </c>
      <c r="J62" s="24">
        <v>21770</v>
      </c>
    </row>
    <row r="63" spans="1:10" ht="12.75">
      <c r="A63" s="20" t="s">
        <v>22</v>
      </c>
      <c r="B63" s="24">
        <v>1820</v>
      </c>
      <c r="C63" s="24">
        <v>1820</v>
      </c>
      <c r="D63" s="24">
        <v>360</v>
      </c>
      <c r="E63" s="24">
        <v>710</v>
      </c>
      <c r="F63" s="24">
        <v>740</v>
      </c>
      <c r="G63" s="24">
        <v>10</v>
      </c>
      <c r="H63" s="24">
        <v>0</v>
      </c>
      <c r="I63" s="24">
        <v>360</v>
      </c>
      <c r="J63" s="24">
        <v>1300</v>
      </c>
    </row>
    <row r="64" spans="1:10" ht="12.75">
      <c r="A64" s="20" t="s">
        <v>23</v>
      </c>
      <c r="B64" s="24">
        <v>590</v>
      </c>
      <c r="C64" s="24">
        <v>590</v>
      </c>
      <c r="D64" s="24">
        <v>0</v>
      </c>
      <c r="E64" s="24">
        <v>240</v>
      </c>
      <c r="F64" s="24">
        <v>240</v>
      </c>
      <c r="G64" s="24">
        <v>110</v>
      </c>
      <c r="H64" s="24">
        <v>0</v>
      </c>
      <c r="I64" s="24">
        <v>90</v>
      </c>
      <c r="J64" s="24">
        <v>590</v>
      </c>
    </row>
    <row r="65" spans="1:10" ht="12.75">
      <c r="A65" s="20" t="s">
        <v>24</v>
      </c>
      <c r="B65" s="24">
        <v>3750</v>
      </c>
      <c r="C65" s="24">
        <v>4750</v>
      </c>
      <c r="D65" s="24">
        <v>0</v>
      </c>
      <c r="E65" s="24">
        <v>2170</v>
      </c>
      <c r="F65" s="24">
        <v>360</v>
      </c>
      <c r="G65" s="24">
        <v>2220</v>
      </c>
      <c r="H65" s="24">
        <v>0</v>
      </c>
      <c r="I65" s="24">
        <v>4600</v>
      </c>
      <c r="J65" s="82">
        <v>50</v>
      </c>
    </row>
    <row r="66" spans="1:10" ht="13.5" thickBot="1">
      <c r="A66" s="21" t="s">
        <v>6</v>
      </c>
      <c r="B66" s="25">
        <v>102100</v>
      </c>
      <c r="C66" s="25">
        <v>104400</v>
      </c>
      <c r="D66" s="25">
        <v>0</v>
      </c>
      <c r="E66" s="25">
        <v>53350</v>
      </c>
      <c r="F66" s="25">
        <v>51050</v>
      </c>
      <c r="G66" s="25">
        <v>0</v>
      </c>
      <c r="H66" s="25">
        <v>-1270</v>
      </c>
      <c r="I66" s="25">
        <v>26800</v>
      </c>
      <c r="J66" s="25">
        <v>111390</v>
      </c>
    </row>
    <row r="67" spans="1:10" ht="13.5" thickTop="1">
      <c r="A67" s="22" t="s">
        <v>8</v>
      </c>
      <c r="B67" s="26">
        <v>361220</v>
      </c>
      <c r="C67" s="26">
        <v>364620</v>
      </c>
      <c r="D67" s="26">
        <v>21540</v>
      </c>
      <c r="E67" s="26">
        <v>66410</v>
      </c>
      <c r="F67" s="26">
        <v>137650</v>
      </c>
      <c r="G67" s="26">
        <v>139020</v>
      </c>
      <c r="H67" s="26">
        <v>33670</v>
      </c>
      <c r="I67" s="26">
        <v>38120</v>
      </c>
      <c r="J67" s="26">
        <v>252650</v>
      </c>
    </row>
    <row r="68" spans="1:10" ht="24.75" thickBot="1">
      <c r="A68" s="23" t="s">
        <v>25</v>
      </c>
      <c r="B68" s="25"/>
      <c r="C68" s="25">
        <v>243420</v>
      </c>
      <c r="D68" s="25">
        <v>0</v>
      </c>
      <c r="E68" s="25">
        <v>124390</v>
      </c>
      <c r="F68" s="25">
        <v>119030</v>
      </c>
      <c r="G68" s="25"/>
      <c r="H68" s="25"/>
      <c r="I68" s="25"/>
      <c r="J68" s="25"/>
    </row>
    <row r="69" spans="1:10" ht="13.5" thickTop="1">
      <c r="A69" s="22" t="s">
        <v>4</v>
      </c>
      <c r="B69" s="26">
        <v>361220</v>
      </c>
      <c r="C69" s="26">
        <v>364620</v>
      </c>
      <c r="D69" s="26">
        <v>21540</v>
      </c>
      <c r="E69" s="26">
        <v>137450</v>
      </c>
      <c r="F69" s="26">
        <v>205630</v>
      </c>
      <c r="G69" s="26">
        <v>0</v>
      </c>
      <c r="H69" s="26">
        <v>33670</v>
      </c>
      <c r="I69" s="26">
        <v>38120</v>
      </c>
      <c r="J69" s="26">
        <v>252650</v>
      </c>
    </row>
    <row r="71" spans="1:2" ht="12.75">
      <c r="A71" s="312" t="s">
        <v>553</v>
      </c>
      <c r="B71" s="3">
        <v>2005</v>
      </c>
    </row>
    <row r="73" spans="1:10" ht="12.75">
      <c r="A73" s="334" t="s">
        <v>9</v>
      </c>
      <c r="B73" s="334"/>
      <c r="C73" s="334"/>
      <c r="D73" s="334"/>
      <c r="E73" s="334"/>
      <c r="F73" s="334"/>
      <c r="G73" s="334"/>
      <c r="H73" s="334"/>
      <c r="I73" s="334"/>
      <c r="J73" s="334"/>
    </row>
    <row r="74" spans="1:10" ht="12.75">
      <c r="A74" s="28">
        <v>2005</v>
      </c>
      <c r="B74" s="335" t="s">
        <v>10</v>
      </c>
      <c r="C74" s="335" t="s">
        <v>11</v>
      </c>
      <c r="D74" s="337" t="s">
        <v>12</v>
      </c>
      <c r="E74" s="337"/>
      <c r="F74" s="337"/>
      <c r="G74" s="337"/>
      <c r="H74" s="337" t="s">
        <v>3</v>
      </c>
      <c r="I74" s="337"/>
      <c r="J74" s="337"/>
    </row>
    <row r="75" spans="1:10" ht="12.75">
      <c r="A75" s="27" t="s">
        <v>7</v>
      </c>
      <c r="B75" s="336"/>
      <c r="C75" s="336"/>
      <c r="D75" s="19" t="s">
        <v>0</v>
      </c>
      <c r="E75" s="19" t="s">
        <v>13</v>
      </c>
      <c r="F75" s="19" t="s">
        <v>1</v>
      </c>
      <c r="G75" s="19" t="s">
        <v>2</v>
      </c>
      <c r="H75" s="19" t="s">
        <v>0</v>
      </c>
      <c r="I75" s="19" t="s">
        <v>13</v>
      </c>
      <c r="J75" s="19" t="s">
        <v>1</v>
      </c>
    </row>
    <row r="76" spans="1:10" ht="12.75">
      <c r="A76" s="20" t="str">
        <f>A4</f>
        <v>North Fork</v>
      </c>
      <c r="B76" s="24">
        <f aca="true" t="shared" si="1" ref="B76:J76">B4</f>
        <v>44800</v>
      </c>
      <c r="C76" s="24">
        <f t="shared" si="1"/>
        <v>44800</v>
      </c>
      <c r="D76" s="24">
        <f t="shared" si="1"/>
        <v>10040</v>
      </c>
      <c r="E76" s="24">
        <f t="shared" si="1"/>
        <v>0</v>
      </c>
      <c r="F76" s="24">
        <f t="shared" si="1"/>
        <v>11020</v>
      </c>
      <c r="G76" s="24">
        <f t="shared" si="1"/>
        <v>23740</v>
      </c>
      <c r="H76" s="24">
        <f t="shared" si="1"/>
        <v>17530</v>
      </c>
      <c r="I76" s="24">
        <f t="shared" si="1"/>
        <v>20</v>
      </c>
      <c r="J76" s="24">
        <f t="shared" si="1"/>
        <v>4290</v>
      </c>
    </row>
    <row r="77" spans="1:10" ht="12.75">
      <c r="A77" s="20" t="str">
        <f aca="true" t="shared" si="2" ref="A77:J77">A5</f>
        <v>Arikaree</v>
      </c>
      <c r="B77" s="24">
        <f t="shared" si="2"/>
        <v>2370</v>
      </c>
      <c r="C77" s="24">
        <f t="shared" si="2"/>
        <v>2370</v>
      </c>
      <c r="D77" s="24">
        <f t="shared" si="2"/>
        <v>1860</v>
      </c>
      <c r="E77" s="24">
        <f t="shared" si="2"/>
        <v>120</v>
      </c>
      <c r="F77" s="24">
        <f t="shared" si="2"/>
        <v>400</v>
      </c>
      <c r="G77" s="24">
        <f t="shared" si="2"/>
        <v>-10</v>
      </c>
      <c r="H77" s="24">
        <f t="shared" si="2"/>
        <v>810</v>
      </c>
      <c r="I77" s="24">
        <f t="shared" si="2"/>
        <v>160</v>
      </c>
      <c r="J77" s="24">
        <f t="shared" si="2"/>
        <v>250</v>
      </c>
    </row>
    <row r="78" spans="1:10" ht="12.75">
      <c r="A78" s="20" t="str">
        <f aca="true" t="shared" si="3" ref="A78:J78">A6</f>
        <v>Buffalo</v>
      </c>
      <c r="B78" s="24">
        <f t="shared" si="3"/>
        <v>6050</v>
      </c>
      <c r="C78" s="24">
        <f t="shared" si="3"/>
        <v>6050</v>
      </c>
      <c r="D78" s="24">
        <f t="shared" si="3"/>
        <v>0</v>
      </c>
      <c r="E78" s="24">
        <f t="shared" si="3"/>
        <v>0</v>
      </c>
      <c r="F78" s="24">
        <f t="shared" si="3"/>
        <v>2000</v>
      </c>
      <c r="G78" s="24">
        <f t="shared" si="3"/>
        <v>4050</v>
      </c>
      <c r="H78" s="24">
        <f t="shared" si="3"/>
        <v>310</v>
      </c>
      <c r="I78" s="24">
        <f t="shared" si="3"/>
        <v>0</v>
      </c>
      <c r="J78" s="24">
        <f t="shared" si="3"/>
        <v>3510</v>
      </c>
    </row>
    <row r="79" spans="1:10" ht="12.75">
      <c r="A79" s="20" t="str">
        <f aca="true" t="shared" si="4" ref="A79:J79">A7</f>
        <v>Rock</v>
      </c>
      <c r="B79" s="24">
        <f t="shared" si="4"/>
        <v>9360</v>
      </c>
      <c r="C79" s="24">
        <f t="shared" si="4"/>
        <v>9360</v>
      </c>
      <c r="D79" s="24">
        <f t="shared" si="4"/>
        <v>0</v>
      </c>
      <c r="E79" s="24">
        <f t="shared" si="4"/>
        <v>0</v>
      </c>
      <c r="F79" s="24">
        <f t="shared" si="4"/>
        <v>3740</v>
      </c>
      <c r="G79" s="24">
        <f t="shared" si="4"/>
        <v>5620</v>
      </c>
      <c r="H79" s="24">
        <f t="shared" si="4"/>
        <v>60</v>
      </c>
      <c r="I79" s="24">
        <f t="shared" si="4"/>
        <v>0</v>
      </c>
      <c r="J79" s="24">
        <f t="shared" si="4"/>
        <v>3830</v>
      </c>
    </row>
    <row r="80" spans="1:10" ht="12.75">
      <c r="A80" s="20" t="str">
        <f aca="true" t="shared" si="5" ref="A80:J80">A8</f>
        <v>South Fork</v>
      </c>
      <c r="B80" s="24">
        <f t="shared" si="5"/>
        <v>26050</v>
      </c>
      <c r="C80" s="24">
        <f t="shared" si="5"/>
        <v>27550</v>
      </c>
      <c r="D80" s="24">
        <f t="shared" si="5"/>
        <v>12230</v>
      </c>
      <c r="E80" s="24">
        <f t="shared" si="5"/>
        <v>11080</v>
      </c>
      <c r="F80" s="24">
        <f t="shared" si="5"/>
        <v>390</v>
      </c>
      <c r="G80" s="24">
        <f t="shared" si="5"/>
        <v>3850</v>
      </c>
      <c r="H80" s="24">
        <f t="shared" si="5"/>
        <v>18660</v>
      </c>
      <c r="I80" s="24">
        <f t="shared" si="5"/>
        <v>7520</v>
      </c>
      <c r="J80" s="24">
        <f t="shared" si="5"/>
        <v>1370</v>
      </c>
    </row>
    <row r="81" spans="1:10" ht="12.75">
      <c r="A81" s="20" t="str">
        <f aca="true" t="shared" si="6" ref="A81:J81">A9</f>
        <v>Frenchman</v>
      </c>
      <c r="B81" s="24">
        <f t="shared" si="6"/>
        <v>110950</v>
      </c>
      <c r="C81" s="24">
        <f t="shared" si="6"/>
        <v>110950</v>
      </c>
      <c r="D81" s="24">
        <f t="shared" si="6"/>
        <v>0</v>
      </c>
      <c r="E81" s="24">
        <f t="shared" si="6"/>
        <v>0</v>
      </c>
      <c r="F81" s="24">
        <f t="shared" si="6"/>
        <v>59470</v>
      </c>
      <c r="G81" s="24">
        <f t="shared" si="6"/>
        <v>51480</v>
      </c>
      <c r="H81" s="24">
        <f t="shared" si="6"/>
        <v>40</v>
      </c>
      <c r="I81" s="24">
        <f t="shared" si="6"/>
        <v>0</v>
      </c>
      <c r="J81" s="24">
        <f t="shared" si="6"/>
        <v>86800</v>
      </c>
    </row>
    <row r="82" spans="1:10" ht="12.75">
      <c r="A82" s="20" t="str">
        <f aca="true" t="shared" si="7" ref="A82:J82">A10</f>
        <v>Driftwood</v>
      </c>
      <c r="B82" s="24">
        <f t="shared" si="7"/>
        <v>3400</v>
      </c>
      <c r="C82" s="24">
        <f t="shared" si="7"/>
        <v>3400</v>
      </c>
      <c r="D82" s="24">
        <f t="shared" si="7"/>
        <v>0</v>
      </c>
      <c r="E82" s="24">
        <f t="shared" si="7"/>
        <v>230</v>
      </c>
      <c r="F82" s="24">
        <f t="shared" si="7"/>
        <v>560</v>
      </c>
      <c r="G82" s="24">
        <f t="shared" si="7"/>
        <v>2610</v>
      </c>
      <c r="H82" s="24">
        <f t="shared" si="7"/>
        <v>0</v>
      </c>
      <c r="I82" s="24">
        <f t="shared" si="7"/>
        <v>10</v>
      </c>
      <c r="J82" s="24">
        <f t="shared" si="7"/>
        <v>1480</v>
      </c>
    </row>
    <row r="83" spans="1:10" ht="12.75">
      <c r="A83" s="20" t="str">
        <f aca="true" t="shared" si="8" ref="A83:J83">A11</f>
        <v>Red Willow</v>
      </c>
      <c r="B83" s="24">
        <f t="shared" si="8"/>
        <v>16360</v>
      </c>
      <c r="C83" s="24">
        <f t="shared" si="8"/>
        <v>14560</v>
      </c>
      <c r="D83" s="24">
        <f t="shared" si="8"/>
        <v>0</v>
      </c>
      <c r="E83" s="24">
        <f t="shared" si="8"/>
        <v>0</v>
      </c>
      <c r="F83" s="24">
        <f t="shared" si="8"/>
        <v>2800</v>
      </c>
      <c r="G83" s="24">
        <f t="shared" si="8"/>
        <v>11760</v>
      </c>
      <c r="H83" s="24">
        <f t="shared" si="8"/>
        <v>0</v>
      </c>
      <c r="I83" s="24">
        <f t="shared" si="8"/>
        <v>0</v>
      </c>
      <c r="J83" s="24">
        <f t="shared" si="8"/>
        <v>8800</v>
      </c>
    </row>
    <row r="84" spans="1:10" ht="12.75">
      <c r="A84" s="20" t="str">
        <f aca="true" t="shared" si="9" ref="A84:J84">A12</f>
        <v>Medicine</v>
      </c>
      <c r="B84" s="24">
        <f t="shared" si="9"/>
        <v>39990</v>
      </c>
      <c r="C84" s="24">
        <f t="shared" si="9"/>
        <v>34390</v>
      </c>
      <c r="D84" s="24">
        <f t="shared" si="9"/>
        <v>0</v>
      </c>
      <c r="E84" s="24">
        <f t="shared" si="9"/>
        <v>0</v>
      </c>
      <c r="F84" s="24">
        <f t="shared" si="9"/>
        <v>3130</v>
      </c>
      <c r="G84" s="24">
        <f t="shared" si="9"/>
        <v>31260</v>
      </c>
      <c r="H84" s="24">
        <f t="shared" si="9"/>
        <v>0</v>
      </c>
      <c r="I84" s="24">
        <f t="shared" si="9"/>
        <v>0</v>
      </c>
      <c r="J84" s="24">
        <f t="shared" si="9"/>
        <v>21320</v>
      </c>
    </row>
    <row r="85" spans="1:10" ht="12.75">
      <c r="A85" s="20" t="str">
        <f aca="true" t="shared" si="10" ref="A85:J85">A13</f>
        <v>Beaver</v>
      </c>
      <c r="B85" s="24">
        <f t="shared" si="10"/>
        <v>4560</v>
      </c>
      <c r="C85" s="24">
        <f t="shared" si="10"/>
        <v>4560</v>
      </c>
      <c r="D85" s="24">
        <f t="shared" si="10"/>
        <v>910</v>
      </c>
      <c r="E85" s="24">
        <f t="shared" si="10"/>
        <v>1770</v>
      </c>
      <c r="F85" s="24">
        <f t="shared" si="10"/>
        <v>1850</v>
      </c>
      <c r="G85" s="24">
        <f t="shared" si="10"/>
        <v>30</v>
      </c>
      <c r="H85" s="24">
        <f t="shared" si="10"/>
        <v>0</v>
      </c>
      <c r="I85" s="24">
        <f t="shared" si="10"/>
        <v>1660</v>
      </c>
      <c r="J85" s="24">
        <f t="shared" si="10"/>
        <v>2730</v>
      </c>
    </row>
    <row r="86" spans="1:10" ht="12.75">
      <c r="A86" s="20" t="str">
        <f aca="true" t="shared" si="11" ref="A86:J86">A14</f>
        <v>Sappa</v>
      </c>
      <c r="B86" s="24">
        <f t="shared" si="11"/>
        <v>-310</v>
      </c>
      <c r="C86" s="24">
        <f t="shared" si="11"/>
        <v>-310</v>
      </c>
      <c r="D86" s="24">
        <f t="shared" si="11"/>
        <v>0</v>
      </c>
      <c r="E86" s="24">
        <f t="shared" si="11"/>
        <v>-130</v>
      </c>
      <c r="F86" s="24">
        <f t="shared" si="11"/>
        <v>-130</v>
      </c>
      <c r="G86" s="24">
        <f t="shared" si="11"/>
        <v>-50</v>
      </c>
      <c r="H86" s="24">
        <f t="shared" si="11"/>
        <v>0</v>
      </c>
      <c r="I86" s="24">
        <f t="shared" si="11"/>
        <v>-1180</v>
      </c>
      <c r="J86" s="24">
        <f t="shared" si="11"/>
        <v>790</v>
      </c>
    </row>
    <row r="87" spans="1:10" ht="12.75">
      <c r="A87" s="20" t="str">
        <f aca="true" t="shared" si="12" ref="A87:J87">A15</f>
        <v>Prairie Dog</v>
      </c>
      <c r="B87" s="24">
        <f t="shared" si="12"/>
        <v>11720</v>
      </c>
      <c r="C87" s="24">
        <f t="shared" si="12"/>
        <v>11620</v>
      </c>
      <c r="D87" s="24">
        <f t="shared" si="12"/>
        <v>0</v>
      </c>
      <c r="E87" s="24">
        <f t="shared" si="12"/>
        <v>5310</v>
      </c>
      <c r="F87" s="24">
        <f t="shared" si="12"/>
        <v>880</v>
      </c>
      <c r="G87" s="24">
        <f t="shared" si="12"/>
        <v>5430</v>
      </c>
      <c r="H87" s="24">
        <f t="shared" si="12"/>
        <v>0</v>
      </c>
      <c r="I87" s="24">
        <f t="shared" si="12"/>
        <v>8180</v>
      </c>
      <c r="J87" s="82">
        <f t="shared" si="12"/>
        <v>40</v>
      </c>
    </row>
    <row r="88" spans="1:10" ht="13.5" thickBot="1">
      <c r="A88" s="21" t="str">
        <f aca="true" t="shared" si="13" ref="A88:J88">A16</f>
        <v>Main Stem</v>
      </c>
      <c r="B88" s="25">
        <f t="shared" si="13"/>
        <v>117610</v>
      </c>
      <c r="C88" s="25">
        <f t="shared" si="13"/>
        <v>92010</v>
      </c>
      <c r="D88" s="25">
        <f t="shared" si="13"/>
        <v>0</v>
      </c>
      <c r="E88" s="25">
        <f t="shared" si="13"/>
        <v>47020</v>
      </c>
      <c r="F88" s="25">
        <f t="shared" si="13"/>
        <v>44990</v>
      </c>
      <c r="G88" s="25">
        <f t="shared" si="13"/>
        <v>0</v>
      </c>
      <c r="H88" s="25">
        <f t="shared" si="13"/>
        <v>-1950</v>
      </c>
      <c r="I88" s="25">
        <f t="shared" si="13"/>
        <v>27940</v>
      </c>
      <c r="J88" s="25">
        <f t="shared" si="13"/>
        <v>118530</v>
      </c>
    </row>
    <row r="89" spans="1:10" ht="13.5" thickTop="1">
      <c r="A89" s="22" t="str">
        <f aca="true" t="shared" si="14" ref="A89:J89">A17</f>
        <v>Total All Basins</v>
      </c>
      <c r="B89" s="26">
        <f t="shared" si="14"/>
        <v>392910</v>
      </c>
      <c r="C89" s="26">
        <f t="shared" si="14"/>
        <v>361310</v>
      </c>
      <c r="D89" s="26">
        <f t="shared" si="14"/>
        <v>25040</v>
      </c>
      <c r="E89" s="26">
        <f t="shared" si="14"/>
        <v>65400</v>
      </c>
      <c r="F89" s="26">
        <f t="shared" si="14"/>
        <v>131100</v>
      </c>
      <c r="G89" s="26">
        <f t="shared" si="14"/>
        <v>139770</v>
      </c>
      <c r="H89" s="26">
        <f t="shared" si="14"/>
        <v>35460</v>
      </c>
      <c r="I89" s="26">
        <f t="shared" si="14"/>
        <v>44310</v>
      </c>
      <c r="J89" s="26">
        <f t="shared" si="14"/>
        <v>253740</v>
      </c>
    </row>
    <row r="90" spans="1:10" ht="24.75" thickBot="1">
      <c r="A90" s="23" t="str">
        <f aca="true" t="shared" si="15" ref="A90:J90">A18</f>
        <v>Main Stem Including Unallocated</v>
      </c>
      <c r="B90" s="25">
        <f t="shared" si="15"/>
        <v>0</v>
      </c>
      <c r="C90" s="25">
        <f t="shared" si="15"/>
        <v>231780</v>
      </c>
      <c r="D90" s="25">
        <f t="shared" si="15"/>
        <v>0</v>
      </c>
      <c r="E90" s="25">
        <f t="shared" si="15"/>
        <v>118440</v>
      </c>
      <c r="F90" s="25">
        <f t="shared" si="15"/>
        <v>113340</v>
      </c>
      <c r="G90" s="25">
        <f t="shared" si="15"/>
        <v>0</v>
      </c>
      <c r="H90" s="25">
        <f t="shared" si="15"/>
        <v>0</v>
      </c>
      <c r="I90" s="25">
        <f t="shared" si="15"/>
        <v>0</v>
      </c>
      <c r="J90" s="25">
        <f t="shared" si="15"/>
        <v>0</v>
      </c>
    </row>
    <row r="91" spans="1:10" ht="13.5" thickTop="1">
      <c r="A91" s="22" t="str">
        <f aca="true" t="shared" si="16" ref="A91:J91">A19</f>
        <v>Total</v>
      </c>
      <c r="B91" s="26">
        <f t="shared" si="16"/>
        <v>392910</v>
      </c>
      <c r="C91" s="26">
        <f t="shared" si="16"/>
        <v>361310</v>
      </c>
      <c r="D91" s="26">
        <f t="shared" si="16"/>
        <v>25040</v>
      </c>
      <c r="E91" s="26">
        <f t="shared" si="16"/>
        <v>136820</v>
      </c>
      <c r="F91" s="26">
        <f t="shared" si="16"/>
        <v>199450</v>
      </c>
      <c r="G91" s="26">
        <f t="shared" si="16"/>
        <v>0</v>
      </c>
      <c r="H91" s="26">
        <f t="shared" si="16"/>
        <v>35460</v>
      </c>
      <c r="I91" s="26">
        <f t="shared" si="16"/>
        <v>44310</v>
      </c>
      <c r="J91" s="26">
        <f t="shared" si="16"/>
        <v>253740</v>
      </c>
    </row>
    <row r="93" spans="1:2" ht="12.75">
      <c r="A93" s="312" t="s">
        <v>554</v>
      </c>
      <c r="B93" s="3">
        <v>2006</v>
      </c>
    </row>
    <row r="95" spans="1:10" ht="12.75">
      <c r="A95" s="334" t="s">
        <v>9</v>
      </c>
      <c r="B95" s="334"/>
      <c r="C95" s="334"/>
      <c r="D95" s="334"/>
      <c r="E95" s="334"/>
      <c r="F95" s="334"/>
      <c r="G95" s="334"/>
      <c r="H95" s="334"/>
      <c r="I95" s="334"/>
      <c r="J95" s="334"/>
    </row>
    <row r="96" spans="1:10" ht="12.75">
      <c r="A96" s="28">
        <v>2006</v>
      </c>
      <c r="B96" s="335" t="s">
        <v>10</v>
      </c>
      <c r="C96" s="335" t="s">
        <v>11</v>
      </c>
      <c r="D96" s="337" t="s">
        <v>12</v>
      </c>
      <c r="E96" s="337"/>
      <c r="F96" s="337"/>
      <c r="G96" s="337"/>
      <c r="H96" s="337" t="s">
        <v>3</v>
      </c>
      <c r="I96" s="337"/>
      <c r="J96" s="337"/>
    </row>
    <row r="97" spans="1:10" ht="12.75">
      <c r="A97" s="27" t="s">
        <v>7</v>
      </c>
      <c r="B97" s="336"/>
      <c r="C97" s="336"/>
      <c r="D97" s="19" t="s">
        <v>0</v>
      </c>
      <c r="E97" s="19" t="s">
        <v>13</v>
      </c>
      <c r="F97" s="19" t="s">
        <v>1</v>
      </c>
      <c r="G97" s="19" t="s">
        <v>2</v>
      </c>
      <c r="H97" s="19" t="s">
        <v>0</v>
      </c>
      <c r="I97" s="19" t="s">
        <v>13</v>
      </c>
      <c r="J97" s="19" t="s">
        <v>1</v>
      </c>
    </row>
    <row r="98" spans="1:10" ht="12.75">
      <c r="A98" s="20" t="s">
        <v>14</v>
      </c>
      <c r="B98" s="24">
        <v>2006</v>
      </c>
      <c r="C98" s="24">
        <v>2006</v>
      </c>
      <c r="D98" s="24">
        <v>2006</v>
      </c>
      <c r="E98" s="24">
        <v>2006</v>
      </c>
      <c r="F98" s="24">
        <v>2006</v>
      </c>
      <c r="G98" s="24">
        <v>2006</v>
      </c>
      <c r="H98" s="24">
        <v>2006</v>
      </c>
      <c r="I98" s="24">
        <v>2006</v>
      </c>
      <c r="J98" s="24">
        <v>2006</v>
      </c>
    </row>
    <row r="99" spans="1:10" ht="12.75">
      <c r="A99" s="20" t="s">
        <v>15</v>
      </c>
      <c r="B99" s="24">
        <v>2006</v>
      </c>
      <c r="C99" s="24">
        <v>2006</v>
      </c>
      <c r="D99" s="24">
        <v>2006</v>
      </c>
      <c r="E99" s="24">
        <v>2006</v>
      </c>
      <c r="F99" s="24">
        <v>2006</v>
      </c>
      <c r="G99" s="24">
        <v>2006</v>
      </c>
      <c r="H99" s="24">
        <v>2006</v>
      </c>
      <c r="I99" s="24">
        <v>2006</v>
      </c>
      <c r="J99" s="24">
        <v>2006</v>
      </c>
    </row>
    <row r="100" spans="1:10" ht="12.75">
      <c r="A100" s="20" t="s">
        <v>16</v>
      </c>
      <c r="B100" s="24">
        <v>2006</v>
      </c>
      <c r="C100" s="24">
        <v>2006</v>
      </c>
      <c r="D100" s="24">
        <v>2006</v>
      </c>
      <c r="E100" s="24">
        <v>2006</v>
      </c>
      <c r="F100" s="24">
        <v>2006</v>
      </c>
      <c r="G100" s="24">
        <v>2006</v>
      </c>
      <c r="H100" s="24">
        <v>2006</v>
      </c>
      <c r="I100" s="24">
        <v>2006</v>
      </c>
      <c r="J100" s="24">
        <v>2006</v>
      </c>
    </row>
    <row r="101" spans="1:10" ht="12.75">
      <c r="A101" s="20" t="s">
        <v>5</v>
      </c>
      <c r="B101" s="24">
        <v>2006</v>
      </c>
      <c r="C101" s="24">
        <v>2006</v>
      </c>
      <c r="D101" s="24">
        <v>2006</v>
      </c>
      <c r="E101" s="24">
        <v>2006</v>
      </c>
      <c r="F101" s="24">
        <v>2006</v>
      </c>
      <c r="G101" s="24">
        <v>2006</v>
      </c>
      <c r="H101" s="24">
        <v>2006</v>
      </c>
      <c r="I101" s="24">
        <v>2006</v>
      </c>
      <c r="J101" s="24">
        <v>2006</v>
      </c>
    </row>
    <row r="102" spans="1:10" ht="12.75">
      <c r="A102" s="20" t="s">
        <v>17</v>
      </c>
      <c r="B102" s="24">
        <v>2006</v>
      </c>
      <c r="C102" s="24">
        <v>2006</v>
      </c>
      <c r="D102" s="24">
        <v>2006</v>
      </c>
      <c r="E102" s="24">
        <v>2006</v>
      </c>
      <c r="F102" s="24">
        <v>2006</v>
      </c>
      <c r="G102" s="24">
        <v>2006</v>
      </c>
      <c r="H102" s="24">
        <v>2006</v>
      </c>
      <c r="I102" s="24">
        <v>2006</v>
      </c>
      <c r="J102" s="24">
        <v>2006</v>
      </c>
    </row>
    <row r="103" spans="1:10" ht="12.75">
      <c r="A103" s="20" t="s">
        <v>18</v>
      </c>
      <c r="B103" s="24">
        <v>2006</v>
      </c>
      <c r="C103" s="24">
        <v>2006</v>
      </c>
      <c r="D103" s="24">
        <v>2006</v>
      </c>
      <c r="E103" s="24">
        <v>2006</v>
      </c>
      <c r="F103" s="24">
        <v>2006</v>
      </c>
      <c r="G103" s="24">
        <v>2006</v>
      </c>
      <c r="H103" s="24">
        <v>2006</v>
      </c>
      <c r="I103" s="24">
        <v>2006</v>
      </c>
      <c r="J103" s="24">
        <v>2006</v>
      </c>
    </row>
    <row r="104" spans="1:10" ht="12.75">
      <c r="A104" s="20" t="s">
        <v>19</v>
      </c>
      <c r="B104" s="24">
        <v>2006</v>
      </c>
      <c r="C104" s="24">
        <v>2006</v>
      </c>
      <c r="D104" s="24">
        <v>2006</v>
      </c>
      <c r="E104" s="24">
        <v>2006</v>
      </c>
      <c r="F104" s="24">
        <v>2006</v>
      </c>
      <c r="G104" s="24">
        <v>2006</v>
      </c>
      <c r="H104" s="24">
        <v>2006</v>
      </c>
      <c r="I104" s="24">
        <v>2006</v>
      </c>
      <c r="J104" s="24">
        <v>2006</v>
      </c>
    </row>
    <row r="105" spans="1:10" ht="12.75">
      <c r="A105" s="20" t="s">
        <v>20</v>
      </c>
      <c r="B105" s="24">
        <v>2006</v>
      </c>
      <c r="C105" s="24">
        <v>2006</v>
      </c>
      <c r="D105" s="24">
        <v>2006</v>
      </c>
      <c r="E105" s="24">
        <v>2006</v>
      </c>
      <c r="F105" s="24">
        <v>2006</v>
      </c>
      <c r="G105" s="24">
        <v>2006</v>
      </c>
      <c r="H105" s="24">
        <v>2006</v>
      </c>
      <c r="I105" s="24">
        <v>2006</v>
      </c>
      <c r="J105" s="24">
        <v>2006</v>
      </c>
    </row>
    <row r="106" spans="1:10" ht="12.75">
      <c r="A106" s="20" t="s">
        <v>21</v>
      </c>
      <c r="B106" s="24">
        <v>2006</v>
      </c>
      <c r="C106" s="24">
        <v>2006</v>
      </c>
      <c r="D106" s="24">
        <v>2006</v>
      </c>
      <c r="E106" s="24">
        <v>2006</v>
      </c>
      <c r="F106" s="24">
        <v>2006</v>
      </c>
      <c r="G106" s="24">
        <v>2006</v>
      </c>
      <c r="H106" s="24">
        <v>2006</v>
      </c>
      <c r="I106" s="24">
        <v>2006</v>
      </c>
      <c r="J106" s="24">
        <v>2006</v>
      </c>
    </row>
    <row r="107" spans="1:10" ht="12.75">
      <c r="A107" s="20" t="s">
        <v>22</v>
      </c>
      <c r="B107" s="24">
        <v>2006</v>
      </c>
      <c r="C107" s="24">
        <v>2006</v>
      </c>
      <c r="D107" s="24">
        <v>2006</v>
      </c>
      <c r="E107" s="24">
        <v>2006</v>
      </c>
      <c r="F107" s="24">
        <v>2006</v>
      </c>
      <c r="G107" s="24">
        <v>2006</v>
      </c>
      <c r="H107" s="24">
        <v>2006</v>
      </c>
      <c r="I107" s="24">
        <v>2006</v>
      </c>
      <c r="J107" s="24">
        <v>2006</v>
      </c>
    </row>
    <row r="108" spans="1:10" ht="12.75">
      <c r="A108" s="20" t="s">
        <v>23</v>
      </c>
      <c r="B108" s="24">
        <v>2006</v>
      </c>
      <c r="C108" s="24">
        <v>2006</v>
      </c>
      <c r="D108" s="24">
        <v>2006</v>
      </c>
      <c r="E108" s="24">
        <v>2006</v>
      </c>
      <c r="F108" s="24">
        <v>2006</v>
      </c>
      <c r="G108" s="24">
        <v>2006</v>
      </c>
      <c r="H108" s="24">
        <v>2006</v>
      </c>
      <c r="I108" s="24">
        <v>2006</v>
      </c>
      <c r="J108" s="24">
        <v>2006</v>
      </c>
    </row>
    <row r="109" spans="1:10" ht="12.75">
      <c r="A109" s="20" t="s">
        <v>24</v>
      </c>
      <c r="B109" s="24">
        <v>2006</v>
      </c>
      <c r="C109" s="24">
        <v>2006</v>
      </c>
      <c r="D109" s="24">
        <v>2006</v>
      </c>
      <c r="E109" s="24">
        <v>2006</v>
      </c>
      <c r="F109" s="24">
        <v>2006</v>
      </c>
      <c r="G109" s="24">
        <v>2006</v>
      </c>
      <c r="H109" s="24">
        <v>2006</v>
      </c>
      <c r="I109" s="24">
        <v>2006</v>
      </c>
      <c r="J109" s="82">
        <v>2006</v>
      </c>
    </row>
    <row r="110" spans="1:10" ht="13.5" thickBot="1">
      <c r="A110" s="21" t="s">
        <v>6</v>
      </c>
      <c r="B110" s="25">
        <v>2006</v>
      </c>
      <c r="C110" s="25">
        <v>2006</v>
      </c>
      <c r="D110" s="25">
        <v>2006</v>
      </c>
      <c r="E110" s="25">
        <v>2006</v>
      </c>
      <c r="F110" s="25">
        <v>2006</v>
      </c>
      <c r="G110" s="25">
        <v>2006</v>
      </c>
      <c r="H110" s="25">
        <v>2006</v>
      </c>
      <c r="I110" s="25">
        <v>2006</v>
      </c>
      <c r="J110" s="25">
        <v>2006</v>
      </c>
    </row>
    <row r="111" spans="1:10" ht="13.5" thickTop="1">
      <c r="A111" s="22" t="s">
        <v>8</v>
      </c>
      <c r="B111" s="26">
        <v>2006</v>
      </c>
      <c r="C111" s="26">
        <v>2006</v>
      </c>
      <c r="D111" s="26">
        <v>2006</v>
      </c>
      <c r="E111" s="26">
        <v>2006</v>
      </c>
      <c r="F111" s="26">
        <v>2006</v>
      </c>
      <c r="G111" s="26">
        <v>2006</v>
      </c>
      <c r="H111" s="26">
        <v>2006</v>
      </c>
      <c r="I111" s="26">
        <v>2006</v>
      </c>
      <c r="J111" s="26">
        <v>2006</v>
      </c>
    </row>
    <row r="112" spans="1:10" ht="24.75" thickBot="1">
      <c r="A112" s="23" t="s">
        <v>25</v>
      </c>
      <c r="B112" s="25">
        <v>2006</v>
      </c>
      <c r="C112" s="25">
        <v>2006</v>
      </c>
      <c r="D112" s="25">
        <v>2006</v>
      </c>
      <c r="E112" s="25">
        <v>2006</v>
      </c>
      <c r="F112" s="25">
        <v>2006</v>
      </c>
      <c r="G112" s="25">
        <v>2006</v>
      </c>
      <c r="H112" s="25">
        <v>2006</v>
      </c>
      <c r="I112" s="25">
        <v>2006</v>
      </c>
      <c r="J112" s="25">
        <v>2006</v>
      </c>
    </row>
    <row r="113" spans="1:10" ht="13.5" thickTop="1">
      <c r="A113" s="22" t="s">
        <v>4</v>
      </c>
      <c r="B113" s="26">
        <v>2006</v>
      </c>
      <c r="C113" s="26">
        <v>2006</v>
      </c>
      <c r="D113" s="26">
        <v>2006</v>
      </c>
      <c r="E113" s="26">
        <v>2006</v>
      </c>
      <c r="F113" s="26">
        <v>2006</v>
      </c>
      <c r="G113" s="26">
        <v>2006</v>
      </c>
      <c r="H113" s="26">
        <v>2006</v>
      </c>
      <c r="I113" s="26">
        <v>2006</v>
      </c>
      <c r="J113" s="26">
        <v>2006</v>
      </c>
    </row>
    <row r="115" spans="1:2" ht="12.75">
      <c r="A115" s="312" t="s">
        <v>555</v>
      </c>
      <c r="B115" s="3">
        <v>2007</v>
      </c>
    </row>
    <row r="117" spans="1:10" ht="12.75">
      <c r="A117" s="334" t="s">
        <v>9</v>
      </c>
      <c r="B117" s="334"/>
      <c r="C117" s="334"/>
      <c r="D117" s="334"/>
      <c r="E117" s="334"/>
      <c r="F117" s="334"/>
      <c r="G117" s="334"/>
      <c r="H117" s="334"/>
      <c r="I117" s="334"/>
      <c r="J117" s="334"/>
    </row>
    <row r="118" spans="1:10" ht="12.75">
      <c r="A118" s="28">
        <v>2007</v>
      </c>
      <c r="B118" s="335" t="s">
        <v>10</v>
      </c>
      <c r="C118" s="335" t="s">
        <v>11</v>
      </c>
      <c r="D118" s="337" t="s">
        <v>12</v>
      </c>
      <c r="E118" s="337"/>
      <c r="F118" s="337"/>
      <c r="G118" s="337"/>
      <c r="H118" s="337" t="s">
        <v>3</v>
      </c>
      <c r="I118" s="337"/>
      <c r="J118" s="337"/>
    </row>
    <row r="119" spans="1:10" ht="12.75">
      <c r="A119" s="27" t="s">
        <v>7</v>
      </c>
      <c r="B119" s="336"/>
      <c r="C119" s="336"/>
      <c r="D119" s="19" t="s">
        <v>0</v>
      </c>
      <c r="E119" s="19" t="s">
        <v>13</v>
      </c>
      <c r="F119" s="19" t="s">
        <v>1</v>
      </c>
      <c r="G119" s="19" t="s">
        <v>2</v>
      </c>
      <c r="H119" s="19" t="s">
        <v>0</v>
      </c>
      <c r="I119" s="19" t="s">
        <v>13</v>
      </c>
      <c r="J119" s="19" t="s">
        <v>1</v>
      </c>
    </row>
    <row r="120" spans="1:10" ht="12.75">
      <c r="A120" s="20" t="s">
        <v>14</v>
      </c>
      <c r="B120" s="24">
        <v>2007</v>
      </c>
      <c r="C120" s="24">
        <v>2007</v>
      </c>
      <c r="D120" s="24">
        <v>2007</v>
      </c>
      <c r="E120" s="24">
        <v>2007</v>
      </c>
      <c r="F120" s="24">
        <v>2007</v>
      </c>
      <c r="G120" s="24">
        <v>2007</v>
      </c>
      <c r="H120" s="24">
        <v>2007</v>
      </c>
      <c r="I120" s="24">
        <v>2007</v>
      </c>
      <c r="J120" s="24">
        <v>2007</v>
      </c>
    </row>
    <row r="121" spans="1:10" ht="12.75">
      <c r="A121" s="20" t="s">
        <v>15</v>
      </c>
      <c r="B121" s="24">
        <v>2007</v>
      </c>
      <c r="C121" s="24">
        <v>2007</v>
      </c>
      <c r="D121" s="24">
        <v>2007</v>
      </c>
      <c r="E121" s="24">
        <v>2007</v>
      </c>
      <c r="F121" s="24">
        <v>2007</v>
      </c>
      <c r="G121" s="24">
        <v>2007</v>
      </c>
      <c r="H121" s="24">
        <v>2007</v>
      </c>
      <c r="I121" s="24">
        <v>2007</v>
      </c>
      <c r="J121" s="24">
        <v>2007</v>
      </c>
    </row>
    <row r="122" spans="1:10" ht="12.75">
      <c r="A122" s="20" t="s">
        <v>16</v>
      </c>
      <c r="B122" s="24">
        <v>2007</v>
      </c>
      <c r="C122" s="24">
        <v>2007</v>
      </c>
      <c r="D122" s="24">
        <v>2007</v>
      </c>
      <c r="E122" s="24">
        <v>2007</v>
      </c>
      <c r="F122" s="24">
        <v>2007</v>
      </c>
      <c r="G122" s="24">
        <v>2007</v>
      </c>
      <c r="H122" s="24">
        <v>2007</v>
      </c>
      <c r="I122" s="24">
        <v>2007</v>
      </c>
      <c r="J122" s="24">
        <v>2007</v>
      </c>
    </row>
    <row r="123" spans="1:10" ht="12.75">
      <c r="A123" s="20" t="s">
        <v>5</v>
      </c>
      <c r="B123" s="24">
        <v>2007</v>
      </c>
      <c r="C123" s="24">
        <v>2007</v>
      </c>
      <c r="D123" s="24">
        <v>2007</v>
      </c>
      <c r="E123" s="24">
        <v>2007</v>
      </c>
      <c r="F123" s="24">
        <v>2007</v>
      </c>
      <c r="G123" s="24">
        <v>2007</v>
      </c>
      <c r="H123" s="24">
        <v>2007</v>
      </c>
      <c r="I123" s="24">
        <v>2007</v>
      </c>
      <c r="J123" s="24">
        <v>2007</v>
      </c>
    </row>
    <row r="124" spans="1:10" ht="12.75">
      <c r="A124" s="20" t="s">
        <v>17</v>
      </c>
      <c r="B124" s="24">
        <v>2007</v>
      </c>
      <c r="C124" s="24">
        <v>2007</v>
      </c>
      <c r="D124" s="24">
        <v>2007</v>
      </c>
      <c r="E124" s="24">
        <v>2007</v>
      </c>
      <c r="F124" s="24">
        <v>2007</v>
      </c>
      <c r="G124" s="24">
        <v>2007</v>
      </c>
      <c r="H124" s="24">
        <v>2007</v>
      </c>
      <c r="I124" s="24">
        <v>2007</v>
      </c>
      <c r="J124" s="24">
        <v>2007</v>
      </c>
    </row>
    <row r="125" spans="1:10" ht="12.75">
      <c r="A125" s="20" t="s">
        <v>18</v>
      </c>
      <c r="B125" s="24">
        <v>2007</v>
      </c>
      <c r="C125" s="24">
        <v>2007</v>
      </c>
      <c r="D125" s="24">
        <v>2007</v>
      </c>
      <c r="E125" s="24">
        <v>2007</v>
      </c>
      <c r="F125" s="24">
        <v>2007</v>
      </c>
      <c r="G125" s="24">
        <v>2007</v>
      </c>
      <c r="H125" s="24">
        <v>2007</v>
      </c>
      <c r="I125" s="24">
        <v>2007</v>
      </c>
      <c r="J125" s="24">
        <v>2007</v>
      </c>
    </row>
    <row r="126" spans="1:10" ht="12.75">
      <c r="A126" s="20" t="s">
        <v>19</v>
      </c>
      <c r="B126" s="24">
        <v>2007</v>
      </c>
      <c r="C126" s="24">
        <v>2007</v>
      </c>
      <c r="D126" s="24">
        <v>2007</v>
      </c>
      <c r="E126" s="24">
        <v>2007</v>
      </c>
      <c r="F126" s="24">
        <v>2007</v>
      </c>
      <c r="G126" s="24">
        <v>2007</v>
      </c>
      <c r="H126" s="24">
        <v>2007</v>
      </c>
      <c r="I126" s="24">
        <v>2007</v>
      </c>
      <c r="J126" s="24">
        <v>2007</v>
      </c>
    </row>
    <row r="127" spans="1:10" ht="12.75">
      <c r="A127" s="20" t="s">
        <v>20</v>
      </c>
      <c r="B127" s="24">
        <v>2007</v>
      </c>
      <c r="C127" s="24">
        <v>2007</v>
      </c>
      <c r="D127" s="24">
        <v>2007</v>
      </c>
      <c r="E127" s="24">
        <v>2007</v>
      </c>
      <c r="F127" s="24">
        <v>2007</v>
      </c>
      <c r="G127" s="24">
        <v>2007</v>
      </c>
      <c r="H127" s="24">
        <v>2007</v>
      </c>
      <c r="I127" s="24">
        <v>2007</v>
      </c>
      <c r="J127" s="24">
        <v>2007</v>
      </c>
    </row>
    <row r="128" spans="1:10" ht="12.75">
      <c r="A128" s="20" t="s">
        <v>21</v>
      </c>
      <c r="B128" s="24">
        <v>2007</v>
      </c>
      <c r="C128" s="24">
        <v>2007</v>
      </c>
      <c r="D128" s="24">
        <v>2007</v>
      </c>
      <c r="E128" s="24">
        <v>2007</v>
      </c>
      <c r="F128" s="24">
        <v>2007</v>
      </c>
      <c r="G128" s="24">
        <v>2007</v>
      </c>
      <c r="H128" s="24">
        <v>2007</v>
      </c>
      <c r="I128" s="24">
        <v>2007</v>
      </c>
      <c r="J128" s="24">
        <v>2007</v>
      </c>
    </row>
    <row r="129" spans="1:10" ht="12.75">
      <c r="A129" s="20" t="s">
        <v>22</v>
      </c>
      <c r="B129" s="24">
        <v>2007</v>
      </c>
      <c r="C129" s="24">
        <v>2007</v>
      </c>
      <c r="D129" s="24">
        <v>2007</v>
      </c>
      <c r="E129" s="24">
        <v>2007</v>
      </c>
      <c r="F129" s="24">
        <v>2007</v>
      </c>
      <c r="G129" s="24">
        <v>2007</v>
      </c>
      <c r="H129" s="24">
        <v>2007</v>
      </c>
      <c r="I129" s="24">
        <v>2007</v>
      </c>
      <c r="J129" s="24">
        <v>2007</v>
      </c>
    </row>
    <row r="130" spans="1:10" ht="12.75">
      <c r="A130" s="20" t="s">
        <v>23</v>
      </c>
      <c r="B130" s="24">
        <v>2007</v>
      </c>
      <c r="C130" s="24">
        <v>2007</v>
      </c>
      <c r="D130" s="24">
        <v>2007</v>
      </c>
      <c r="E130" s="24">
        <v>2007</v>
      </c>
      <c r="F130" s="24">
        <v>2007</v>
      </c>
      <c r="G130" s="24">
        <v>2007</v>
      </c>
      <c r="H130" s="24">
        <v>2007</v>
      </c>
      <c r="I130" s="24">
        <v>2007</v>
      </c>
      <c r="J130" s="24">
        <v>2007</v>
      </c>
    </row>
    <row r="131" spans="1:10" ht="12.75">
      <c r="A131" s="20" t="s">
        <v>24</v>
      </c>
      <c r="B131" s="24">
        <v>2007</v>
      </c>
      <c r="C131" s="24">
        <v>2007</v>
      </c>
      <c r="D131" s="24">
        <v>2007</v>
      </c>
      <c r="E131" s="24">
        <v>2007</v>
      </c>
      <c r="F131" s="24">
        <v>2007</v>
      </c>
      <c r="G131" s="24">
        <v>2007</v>
      </c>
      <c r="H131" s="24">
        <v>2007</v>
      </c>
      <c r="I131" s="24">
        <v>2007</v>
      </c>
      <c r="J131" s="82">
        <v>2007</v>
      </c>
    </row>
    <row r="132" spans="1:10" ht="13.5" thickBot="1">
      <c r="A132" s="21" t="s">
        <v>6</v>
      </c>
      <c r="B132" s="25">
        <v>2007</v>
      </c>
      <c r="C132" s="25">
        <v>2007</v>
      </c>
      <c r="D132" s="25">
        <v>2007</v>
      </c>
      <c r="E132" s="25">
        <v>2007</v>
      </c>
      <c r="F132" s="25">
        <v>2007</v>
      </c>
      <c r="G132" s="25">
        <v>2007</v>
      </c>
      <c r="H132" s="25">
        <v>2007</v>
      </c>
      <c r="I132" s="25">
        <v>2007</v>
      </c>
      <c r="J132" s="25">
        <v>2007</v>
      </c>
    </row>
    <row r="133" spans="1:10" ht="13.5" thickTop="1">
      <c r="A133" s="22" t="s">
        <v>8</v>
      </c>
      <c r="B133" s="26">
        <v>2007</v>
      </c>
      <c r="C133" s="26">
        <v>2007</v>
      </c>
      <c r="D133" s="26">
        <v>2007</v>
      </c>
      <c r="E133" s="26">
        <v>2007</v>
      </c>
      <c r="F133" s="26">
        <v>2007</v>
      </c>
      <c r="G133" s="26">
        <v>2007</v>
      </c>
      <c r="H133" s="26">
        <v>2007</v>
      </c>
      <c r="I133" s="26">
        <v>2007</v>
      </c>
      <c r="J133" s="26">
        <v>2007</v>
      </c>
    </row>
    <row r="134" spans="1:10" ht="24.75" thickBot="1">
      <c r="A134" s="23" t="s">
        <v>25</v>
      </c>
      <c r="B134" s="25">
        <v>2007</v>
      </c>
      <c r="C134" s="25">
        <v>2007</v>
      </c>
      <c r="D134" s="25">
        <v>2007</v>
      </c>
      <c r="E134" s="25">
        <v>2007</v>
      </c>
      <c r="F134" s="25">
        <v>2007</v>
      </c>
      <c r="G134" s="25">
        <v>2007</v>
      </c>
      <c r="H134" s="25">
        <v>2007</v>
      </c>
      <c r="I134" s="25">
        <v>2007</v>
      </c>
      <c r="J134" s="25">
        <v>2007</v>
      </c>
    </row>
    <row r="135" spans="1:10" ht="13.5" thickTop="1">
      <c r="A135" s="22" t="s">
        <v>4</v>
      </c>
      <c r="B135" s="26">
        <v>2007</v>
      </c>
      <c r="C135" s="26">
        <v>2007</v>
      </c>
      <c r="D135" s="26">
        <v>2007</v>
      </c>
      <c r="E135" s="26">
        <v>2007</v>
      </c>
      <c r="F135" s="26">
        <v>2007</v>
      </c>
      <c r="G135" s="26">
        <v>2007</v>
      </c>
      <c r="H135" s="26">
        <v>2007</v>
      </c>
      <c r="I135" s="26">
        <v>2007</v>
      </c>
      <c r="J135" s="26">
        <v>2007</v>
      </c>
    </row>
  </sheetData>
  <mergeCells count="30">
    <mergeCell ref="A29:J29"/>
    <mergeCell ref="B30:B31"/>
    <mergeCell ref="C30:C31"/>
    <mergeCell ref="D30:G30"/>
    <mergeCell ref="H30:J30"/>
    <mergeCell ref="A1:J1"/>
    <mergeCell ref="B2:B3"/>
    <mergeCell ref="C2:C3"/>
    <mergeCell ref="D2:G2"/>
    <mergeCell ref="H2:J2"/>
    <mergeCell ref="A51:J51"/>
    <mergeCell ref="A73:J73"/>
    <mergeCell ref="B74:B75"/>
    <mergeCell ref="C74:C75"/>
    <mergeCell ref="D74:G74"/>
    <mergeCell ref="H74:J74"/>
    <mergeCell ref="B52:B53"/>
    <mergeCell ref="C52:C53"/>
    <mergeCell ref="D52:G52"/>
    <mergeCell ref="H52:J52"/>
    <mergeCell ref="A95:J95"/>
    <mergeCell ref="B96:B97"/>
    <mergeCell ref="C96:C97"/>
    <mergeCell ref="D96:G96"/>
    <mergeCell ref="H96:J96"/>
    <mergeCell ref="A117:J117"/>
    <mergeCell ref="B118:B119"/>
    <mergeCell ref="C118:C119"/>
    <mergeCell ref="D118:G118"/>
    <mergeCell ref="H118:J118"/>
  </mergeCells>
  <printOptions/>
  <pageMargins left="0.75" right="0.75" top="1" bottom="1" header="0.5" footer="0.5"/>
  <pageSetup fitToHeight="1" fitToWidth="1" horizontalDpi="600" verticalDpi="600" orientation="landscape" scale="91" r:id="rId1"/>
  <headerFooter alignWithMargins="0">
    <oddHeader>&amp;LRRCA
Compact Accounting with non-federal reservoir evaporation below Harlan County
</oddHead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J18"/>
  <sheetViews>
    <sheetView workbookViewId="0" topLeftCell="A1">
      <selection activeCell="A1" sqref="A1:J1"/>
    </sheetView>
  </sheetViews>
  <sheetFormatPr defaultColWidth="9.140625" defaultRowHeight="12.75"/>
  <cols>
    <col min="1" max="1" width="14.57421875" style="0" customWidth="1"/>
    <col min="2" max="3" width="9.140625" style="33" customWidth="1"/>
    <col min="4" max="4" width="9.140625" style="7" customWidth="1"/>
    <col min="5" max="5" width="9.140625" style="33" customWidth="1"/>
    <col min="6" max="6" width="9.140625" style="7" customWidth="1"/>
    <col min="7" max="7" width="9.140625" style="33" customWidth="1"/>
    <col min="8" max="8" width="9.140625" style="7" customWidth="1"/>
    <col min="9" max="9" width="10.421875" style="33" customWidth="1"/>
    <col min="10" max="10" width="9.140625" style="7" customWidth="1"/>
  </cols>
  <sheetData>
    <row r="1" spans="1:10" ht="12.75">
      <c r="A1" s="338" t="s">
        <v>26</v>
      </c>
      <c r="B1" s="338"/>
      <c r="C1" s="338"/>
      <c r="D1" s="338"/>
      <c r="E1" s="338"/>
      <c r="F1" s="338"/>
      <c r="G1" s="338"/>
      <c r="H1" s="338"/>
      <c r="I1" s="338"/>
      <c r="J1" s="338"/>
    </row>
    <row r="2" spans="1:10" ht="36">
      <c r="A2" s="30" t="s">
        <v>7</v>
      </c>
      <c r="B2" s="32" t="s">
        <v>10</v>
      </c>
      <c r="C2" s="32" t="s">
        <v>27</v>
      </c>
      <c r="D2" s="34" t="s">
        <v>28</v>
      </c>
      <c r="E2" s="32" t="s">
        <v>29</v>
      </c>
      <c r="F2" s="34" t="s">
        <v>28</v>
      </c>
      <c r="G2" s="32" t="s">
        <v>30</v>
      </c>
      <c r="H2" s="34" t="s">
        <v>28</v>
      </c>
      <c r="I2" s="32" t="s">
        <v>2</v>
      </c>
      <c r="J2" s="34" t="s">
        <v>28</v>
      </c>
    </row>
    <row r="3" spans="1:10" ht="19.5" customHeight="1">
      <c r="A3" s="20" t="s">
        <v>14</v>
      </c>
      <c r="B3" s="24">
        <v>44700</v>
      </c>
      <c r="C3" s="24">
        <v>10000</v>
      </c>
      <c r="D3" s="35">
        <v>0.224</v>
      </c>
      <c r="E3" s="24"/>
      <c r="F3" s="35"/>
      <c r="G3" s="24">
        <v>11000</v>
      </c>
      <c r="H3" s="35">
        <v>0.246</v>
      </c>
      <c r="I3" s="24">
        <v>23700</v>
      </c>
      <c r="J3" s="35">
        <v>0.53</v>
      </c>
    </row>
    <row r="4" spans="1:10" ht="19.5" customHeight="1">
      <c r="A4" s="20" t="s">
        <v>15</v>
      </c>
      <c r="B4" s="24">
        <v>19610</v>
      </c>
      <c r="C4" s="24">
        <v>15400</v>
      </c>
      <c r="D4" s="35">
        <v>0.785</v>
      </c>
      <c r="E4" s="24">
        <v>1000</v>
      </c>
      <c r="F4" s="35">
        <v>0.051</v>
      </c>
      <c r="G4" s="24">
        <v>3300</v>
      </c>
      <c r="H4" s="35">
        <v>0.168</v>
      </c>
      <c r="I4" s="24">
        <v>-90</v>
      </c>
      <c r="J4" s="35">
        <v>-0.004</v>
      </c>
    </row>
    <row r="5" spans="1:10" ht="19.5" customHeight="1">
      <c r="A5" s="20" t="s">
        <v>16</v>
      </c>
      <c r="B5" s="24">
        <v>7890</v>
      </c>
      <c r="C5" s="24"/>
      <c r="D5" s="35"/>
      <c r="E5" s="24"/>
      <c r="F5" s="35"/>
      <c r="G5" s="24">
        <v>2600</v>
      </c>
      <c r="H5" s="35">
        <v>0.33</v>
      </c>
      <c r="I5" s="24">
        <v>5290</v>
      </c>
      <c r="J5" s="35">
        <v>0.67</v>
      </c>
    </row>
    <row r="6" spans="1:10" ht="19.5" customHeight="1">
      <c r="A6" s="20" t="s">
        <v>5</v>
      </c>
      <c r="B6" s="24">
        <v>11000</v>
      </c>
      <c r="C6" s="24"/>
      <c r="D6" s="35"/>
      <c r="E6" s="24"/>
      <c r="F6" s="35"/>
      <c r="G6" s="24">
        <v>4400</v>
      </c>
      <c r="H6" s="35">
        <v>0.4</v>
      </c>
      <c r="I6" s="24">
        <v>6600</v>
      </c>
      <c r="J6" s="35">
        <v>0.6</v>
      </c>
    </row>
    <row r="7" spans="1:10" ht="19.5" customHeight="1">
      <c r="A7" s="20" t="s">
        <v>17</v>
      </c>
      <c r="B7" s="24">
        <v>57200</v>
      </c>
      <c r="C7" s="24">
        <v>25400</v>
      </c>
      <c r="D7" s="35">
        <v>0.444</v>
      </c>
      <c r="E7" s="24">
        <v>23000</v>
      </c>
      <c r="F7" s="35">
        <v>0.402</v>
      </c>
      <c r="G7" s="24">
        <v>800</v>
      </c>
      <c r="H7" s="35">
        <v>0.014</v>
      </c>
      <c r="I7" s="24">
        <v>8000</v>
      </c>
      <c r="J7" s="35">
        <v>0.14</v>
      </c>
    </row>
    <row r="8" spans="1:10" ht="19.5" customHeight="1">
      <c r="A8" s="20" t="s">
        <v>18</v>
      </c>
      <c r="B8" s="24">
        <v>98500</v>
      </c>
      <c r="C8" s="24"/>
      <c r="D8" s="35"/>
      <c r="E8" s="24"/>
      <c r="F8" s="35"/>
      <c r="G8" s="24">
        <v>52800</v>
      </c>
      <c r="H8" s="35">
        <v>0.536</v>
      </c>
      <c r="I8" s="24">
        <v>45700</v>
      </c>
      <c r="J8" s="35">
        <v>0.464</v>
      </c>
    </row>
    <row r="9" spans="1:10" ht="19.5" customHeight="1">
      <c r="A9" s="20" t="s">
        <v>19</v>
      </c>
      <c r="B9" s="24">
        <v>7300</v>
      </c>
      <c r="C9" s="24"/>
      <c r="D9" s="35"/>
      <c r="E9" s="24">
        <v>500</v>
      </c>
      <c r="F9" s="35">
        <v>0.069</v>
      </c>
      <c r="G9" s="24">
        <v>1200</v>
      </c>
      <c r="H9" s="35">
        <v>0.164</v>
      </c>
      <c r="I9" s="24">
        <v>5600</v>
      </c>
      <c r="J9" s="35">
        <v>0.767</v>
      </c>
    </row>
    <row r="10" spans="1:10" ht="19.5" customHeight="1">
      <c r="A10" s="20" t="s">
        <v>20</v>
      </c>
      <c r="B10" s="24">
        <v>21900</v>
      </c>
      <c r="C10" s="24"/>
      <c r="D10" s="35"/>
      <c r="E10" s="24"/>
      <c r="F10" s="35"/>
      <c r="G10" s="24">
        <v>4200</v>
      </c>
      <c r="H10" s="35">
        <v>0.192</v>
      </c>
      <c r="I10" s="24">
        <v>17700</v>
      </c>
      <c r="J10" s="35">
        <v>0.808</v>
      </c>
    </row>
    <row r="11" spans="1:10" ht="19.5" customHeight="1">
      <c r="A11" s="20" t="s">
        <v>21</v>
      </c>
      <c r="B11" s="24">
        <v>50800</v>
      </c>
      <c r="C11" s="24"/>
      <c r="D11" s="35"/>
      <c r="E11" s="24"/>
      <c r="F11" s="35"/>
      <c r="G11" s="24">
        <v>4600</v>
      </c>
      <c r="H11" s="35">
        <v>0.091</v>
      </c>
      <c r="I11" s="24">
        <v>46200</v>
      </c>
      <c r="J11" s="35">
        <v>0.909</v>
      </c>
    </row>
    <row r="12" spans="1:10" ht="19.5" customHeight="1">
      <c r="A12" s="20" t="s">
        <v>22</v>
      </c>
      <c r="B12" s="24">
        <v>16500</v>
      </c>
      <c r="C12" s="24">
        <v>3300</v>
      </c>
      <c r="D12" s="35">
        <v>0.2</v>
      </c>
      <c r="E12" s="24">
        <v>6400</v>
      </c>
      <c r="F12" s="35">
        <v>0.388</v>
      </c>
      <c r="G12" s="24">
        <v>6700</v>
      </c>
      <c r="H12" s="35">
        <v>0.406</v>
      </c>
      <c r="I12" s="24">
        <v>100</v>
      </c>
      <c r="J12" s="35">
        <v>0.006</v>
      </c>
    </row>
    <row r="13" spans="1:10" ht="19.5" customHeight="1">
      <c r="A13" s="20" t="s">
        <v>23</v>
      </c>
      <c r="B13" s="24">
        <v>21400</v>
      </c>
      <c r="C13" s="24"/>
      <c r="D13" s="35"/>
      <c r="E13" s="24">
        <v>8800</v>
      </c>
      <c r="F13" s="35">
        <v>0.411</v>
      </c>
      <c r="G13" s="24">
        <v>8800</v>
      </c>
      <c r="H13" s="35">
        <v>0.411</v>
      </c>
      <c r="I13" s="24">
        <v>3800</v>
      </c>
      <c r="J13" s="35">
        <v>0.178</v>
      </c>
    </row>
    <row r="14" spans="1:10" ht="19.5" customHeight="1">
      <c r="A14" s="20" t="s">
        <v>24</v>
      </c>
      <c r="B14" s="24">
        <v>27600</v>
      </c>
      <c r="C14" s="24"/>
      <c r="D14" s="35"/>
      <c r="E14" s="24">
        <v>12600</v>
      </c>
      <c r="F14" s="35">
        <v>0.457</v>
      </c>
      <c r="G14" s="24">
        <v>2100</v>
      </c>
      <c r="H14" s="35">
        <v>0.076</v>
      </c>
      <c r="I14" s="24">
        <v>12900</v>
      </c>
      <c r="J14" s="35">
        <v>0.467</v>
      </c>
    </row>
    <row r="15" spans="1:10" ht="30" customHeight="1">
      <c r="A15" s="31" t="s">
        <v>32</v>
      </c>
      <c r="B15" s="24">
        <v>384000</v>
      </c>
      <c r="C15" s="24"/>
      <c r="D15" s="35"/>
      <c r="E15" s="24"/>
      <c r="F15" s="35"/>
      <c r="G15" s="24"/>
      <c r="H15" s="35"/>
      <c r="I15" s="24">
        <v>175500</v>
      </c>
      <c r="J15" s="35"/>
    </row>
    <row r="16" spans="1:10" ht="19.5" customHeight="1">
      <c r="A16" s="20" t="s">
        <v>6</v>
      </c>
      <c r="B16" s="24">
        <v>94500</v>
      </c>
      <c r="C16" s="24"/>
      <c r="D16" s="35"/>
      <c r="E16" s="24"/>
      <c r="F16" s="35"/>
      <c r="G16" s="24"/>
      <c r="H16" s="35"/>
      <c r="I16" s="24"/>
      <c r="J16" s="35"/>
    </row>
    <row r="17" spans="1:10" ht="30" customHeight="1" thickBot="1">
      <c r="A17" s="23" t="s">
        <v>31</v>
      </c>
      <c r="B17" s="25">
        <v>270000</v>
      </c>
      <c r="C17" s="25"/>
      <c r="D17" s="36"/>
      <c r="E17" s="25">
        <v>138000</v>
      </c>
      <c r="F17" s="36">
        <v>0.511</v>
      </c>
      <c r="G17" s="25">
        <v>132000</v>
      </c>
      <c r="H17" s="36">
        <v>0.489</v>
      </c>
      <c r="I17" s="25"/>
      <c r="J17" s="36"/>
    </row>
    <row r="18" spans="1:10" ht="19.5" customHeight="1" thickTop="1">
      <c r="A18" s="22" t="s">
        <v>4</v>
      </c>
      <c r="B18" s="26">
        <v>478900</v>
      </c>
      <c r="C18" s="26">
        <v>54100</v>
      </c>
      <c r="D18" s="37"/>
      <c r="E18" s="26">
        <v>190300</v>
      </c>
      <c r="F18" s="37"/>
      <c r="G18" s="26">
        <v>234500</v>
      </c>
      <c r="H18" s="37"/>
      <c r="I18" s="26"/>
      <c r="J18" s="37"/>
    </row>
  </sheetData>
  <mergeCells count="1">
    <mergeCell ref="A1:J1"/>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18.xml><?xml version="1.0" encoding="utf-8"?>
<worksheet xmlns="http://schemas.openxmlformats.org/spreadsheetml/2006/main" xmlns:r="http://schemas.openxmlformats.org/officeDocument/2006/relationships">
  <sheetPr codeName="Sheet18">
    <pageSetUpPr fitToPage="1"/>
  </sheetPr>
  <dimension ref="A1:E28"/>
  <sheetViews>
    <sheetView workbookViewId="0" topLeftCell="A1">
      <selection activeCell="B3" sqref="B3"/>
    </sheetView>
  </sheetViews>
  <sheetFormatPr defaultColWidth="9.140625" defaultRowHeight="40.5" customHeight="1"/>
  <cols>
    <col min="1" max="1" width="18.140625" style="50" customWidth="1"/>
    <col min="2" max="2" width="20.8515625" style="50" customWidth="1"/>
    <col min="3" max="4" width="21.57421875" style="50" customWidth="1"/>
    <col min="5" max="5" width="18.421875" style="50" customWidth="1"/>
    <col min="6" max="16384" width="31.7109375" style="50" customWidth="1"/>
  </cols>
  <sheetData>
    <row r="1" spans="1:5" ht="24.75" customHeight="1">
      <c r="A1" s="339" t="s">
        <v>33</v>
      </c>
      <c r="B1" s="339"/>
      <c r="C1" s="339"/>
      <c r="D1" s="339"/>
      <c r="E1" s="339"/>
    </row>
    <row r="2" spans="1:5" ht="24.75" customHeight="1">
      <c r="A2" s="39" t="s">
        <v>34</v>
      </c>
      <c r="B2" s="39" t="s">
        <v>35</v>
      </c>
      <c r="C2" s="39" t="s">
        <v>3</v>
      </c>
      <c r="D2" s="39" t="s">
        <v>36</v>
      </c>
      <c r="E2" s="200" t="s">
        <v>475</v>
      </c>
    </row>
    <row r="3" spans="1:5" ht="24.75" customHeight="1">
      <c r="A3" s="65">
        <v>2003</v>
      </c>
      <c r="B3" s="66">
        <f>'T1'!D47</f>
        <v>21420</v>
      </c>
      <c r="C3" s="66">
        <f>'T1'!H47</f>
        <v>33470</v>
      </c>
      <c r="D3" s="66" t="s">
        <v>364</v>
      </c>
      <c r="E3" s="271">
        <f>+B3-C3</f>
        <v>-12050</v>
      </c>
    </row>
    <row r="4" spans="1:5" ht="24.75" customHeight="1">
      <c r="A4" s="65">
        <f>A3+1</f>
        <v>2004</v>
      </c>
      <c r="B4" s="66">
        <f>'T1'!D69</f>
        <v>21540</v>
      </c>
      <c r="C4" s="66">
        <f>'T1'!H69</f>
        <v>33670</v>
      </c>
      <c r="D4" s="66" t="s">
        <v>364</v>
      </c>
      <c r="E4" s="271">
        <v>-12130</v>
      </c>
    </row>
    <row r="5" spans="1:5" ht="24.75" customHeight="1">
      <c r="A5" s="65">
        <f>A4+1</f>
        <v>2005</v>
      </c>
      <c r="B5" s="316">
        <f>'T1'!D19</f>
        <v>25040</v>
      </c>
      <c r="C5" s="316">
        <f>'T1'!H19</f>
        <v>35460</v>
      </c>
      <c r="D5" s="316" t="s">
        <v>364</v>
      </c>
      <c r="E5" s="317">
        <f>+B5-C5</f>
        <v>-10420</v>
      </c>
    </row>
    <row r="6" spans="1:5" ht="24.75" customHeight="1">
      <c r="A6" s="65">
        <f>A5+1</f>
        <v>2006</v>
      </c>
      <c r="B6" s="66"/>
      <c r="C6" s="66"/>
      <c r="D6" s="66" t="s">
        <v>364</v>
      </c>
      <c r="E6" s="271"/>
    </row>
    <row r="7" spans="1:5" ht="24.75" customHeight="1" thickBot="1">
      <c r="A7" s="65">
        <f>A6+1</f>
        <v>2007</v>
      </c>
      <c r="B7" s="67"/>
      <c r="C7" s="67"/>
      <c r="D7" s="67" t="s">
        <v>364</v>
      </c>
      <c r="E7" s="272"/>
    </row>
    <row r="8" spans="1:5" ht="24.75" customHeight="1" thickTop="1">
      <c r="A8" s="69" t="s">
        <v>37</v>
      </c>
      <c r="B8" s="70">
        <f>ROUND(+AVERAGE(B3:B7),-1)</f>
        <v>22670</v>
      </c>
      <c r="C8" s="70">
        <f>ROUND(+AVERAGE(C3:C7),-1)</f>
        <v>34200</v>
      </c>
      <c r="D8" s="70"/>
      <c r="E8" s="274">
        <f>ROUND(+AVERAGE(E3:E7),-1)</f>
        <v>-11530</v>
      </c>
    </row>
    <row r="9" spans="1:5" ht="24.75" customHeight="1">
      <c r="A9" s="277" t="s">
        <v>504</v>
      </c>
      <c r="E9" s="276">
        <f>SUM(E3:E7)</f>
        <v>-34600</v>
      </c>
    </row>
    <row r="10" spans="1:5" ht="24.75" customHeight="1">
      <c r="A10" s="339" t="s">
        <v>38</v>
      </c>
      <c r="B10" s="339"/>
      <c r="C10" s="339"/>
      <c r="D10" s="339"/>
      <c r="E10" s="339"/>
    </row>
    <row r="11" spans="1:5" ht="24.75" customHeight="1">
      <c r="A11" s="39" t="s">
        <v>34</v>
      </c>
      <c r="B11" s="39" t="s">
        <v>35</v>
      </c>
      <c r="C11" s="39" t="s">
        <v>3</v>
      </c>
      <c r="D11" s="39" t="s">
        <v>36</v>
      </c>
      <c r="E11" s="200" t="s">
        <v>475</v>
      </c>
    </row>
    <row r="12" spans="1:5" ht="24.75" customHeight="1">
      <c r="A12" s="65">
        <v>2003</v>
      </c>
      <c r="B12" s="66">
        <f>'T1'!E47</f>
        <v>167780</v>
      </c>
      <c r="C12" s="224">
        <f>'T1'!I47</f>
        <v>48910</v>
      </c>
      <c r="D12" s="66" t="s">
        <v>364</v>
      </c>
      <c r="E12" s="66">
        <f>+B12-C12</f>
        <v>118870</v>
      </c>
    </row>
    <row r="13" spans="1:5" ht="24.75" customHeight="1">
      <c r="A13" s="65">
        <f>A12+1</f>
        <v>2004</v>
      </c>
      <c r="B13" s="66">
        <f>'T1'!E69</f>
        <v>137450</v>
      </c>
      <c r="C13" s="66">
        <f>'T1'!I69</f>
        <v>38120</v>
      </c>
      <c r="D13" s="66" t="s">
        <v>364</v>
      </c>
      <c r="E13" s="66">
        <v>99330</v>
      </c>
    </row>
    <row r="14" spans="1:5" ht="24.75" customHeight="1">
      <c r="A14" s="65">
        <f>A13+1</f>
        <v>2005</v>
      </c>
      <c r="B14" s="316">
        <f>'T1'!E19</f>
        <v>136820</v>
      </c>
      <c r="C14" s="316">
        <f>'T1'!I19</f>
        <v>44310</v>
      </c>
      <c r="D14" s="316" t="s">
        <v>364</v>
      </c>
      <c r="E14" s="316">
        <f>+B14-C14</f>
        <v>92510</v>
      </c>
    </row>
    <row r="15" spans="1:5" ht="24.75" customHeight="1">
      <c r="A15" s="65">
        <f>A14+1</f>
        <v>2006</v>
      </c>
      <c r="B15" s="66"/>
      <c r="C15" s="66"/>
      <c r="D15" s="66" t="s">
        <v>364</v>
      </c>
      <c r="E15" s="66"/>
    </row>
    <row r="16" spans="1:5" ht="24.75" customHeight="1" thickBot="1">
      <c r="A16" s="65">
        <f>A15+1</f>
        <v>2007</v>
      </c>
      <c r="B16" s="67"/>
      <c r="C16" s="67"/>
      <c r="D16" s="67" t="s">
        <v>364</v>
      </c>
      <c r="E16" s="67"/>
    </row>
    <row r="17" spans="1:5" ht="24.75" customHeight="1" thickTop="1">
      <c r="A17" s="69" t="s">
        <v>37</v>
      </c>
      <c r="B17" s="70">
        <f>ROUND(+AVERAGE(B12:B16),-1)</f>
        <v>147350</v>
      </c>
      <c r="C17" s="70">
        <f>ROUND(+AVERAGE(C12:C16),-1)</f>
        <v>43780</v>
      </c>
      <c r="D17" s="70"/>
      <c r="E17" s="70">
        <f>ROUND(+AVERAGE(E12:E16),-1)</f>
        <v>103570</v>
      </c>
    </row>
    <row r="18" spans="1:5" ht="24.75" customHeight="1">
      <c r="A18" s="277" t="s">
        <v>504</v>
      </c>
      <c r="E18" s="278">
        <f>SUM(E12:E16)</f>
        <v>310710</v>
      </c>
    </row>
    <row r="19" spans="1:5" ht="24.75" customHeight="1">
      <c r="A19" s="339" t="s">
        <v>39</v>
      </c>
      <c r="B19" s="339"/>
      <c r="C19" s="339"/>
      <c r="D19" s="339"/>
      <c r="E19" s="339"/>
    </row>
    <row r="20" spans="1:5" ht="24.75" customHeight="1">
      <c r="A20" s="39" t="s">
        <v>34</v>
      </c>
      <c r="B20" s="39" t="s">
        <v>35</v>
      </c>
      <c r="C20" s="39" t="s">
        <v>3</v>
      </c>
      <c r="D20" s="39" t="s">
        <v>36</v>
      </c>
      <c r="E20" s="39" t="s">
        <v>475</v>
      </c>
    </row>
    <row r="21" spans="1:5" ht="24.75" customHeight="1">
      <c r="A21" s="65">
        <v>2003</v>
      </c>
      <c r="B21" s="66">
        <f>'T1'!F47</f>
        <v>227580</v>
      </c>
      <c r="C21" s="66">
        <f>'T1'!J47</f>
        <v>262780</v>
      </c>
      <c r="D21" s="225">
        <v>9780</v>
      </c>
      <c r="E21" s="271">
        <f>+B21-(C21-D21)</f>
        <v>-25420</v>
      </c>
    </row>
    <row r="22" spans="1:5" ht="24.75" customHeight="1">
      <c r="A22" s="65">
        <f>A21+1</f>
        <v>2004</v>
      </c>
      <c r="B22" s="66">
        <f>'T1'!F69</f>
        <v>205630</v>
      </c>
      <c r="C22" s="66">
        <f>'T1'!J69</f>
        <v>252650</v>
      </c>
      <c r="D22" s="66">
        <v>10380</v>
      </c>
      <c r="E22" s="271">
        <v>-36640</v>
      </c>
    </row>
    <row r="23" spans="1:5" ht="24.75" customHeight="1">
      <c r="A23" s="65">
        <f>A22+1</f>
        <v>2005</v>
      </c>
      <c r="B23" s="316">
        <f>'T1'!F19</f>
        <v>199450</v>
      </c>
      <c r="C23" s="316">
        <f>'T1'!J19</f>
        <v>253740</v>
      </c>
      <c r="D23" s="316">
        <f>GM_output!E31</f>
        <v>11965</v>
      </c>
      <c r="E23" s="317">
        <f>B23-(C23-D23)</f>
        <v>-42325</v>
      </c>
    </row>
    <row r="24" spans="1:5" ht="24.75" customHeight="1">
      <c r="A24" s="65">
        <f>A23+1</f>
        <v>2006</v>
      </c>
      <c r="B24" s="66"/>
      <c r="C24" s="66"/>
      <c r="D24" s="66"/>
      <c r="E24" s="271"/>
    </row>
    <row r="25" spans="1:5" ht="24.75" customHeight="1" thickBot="1">
      <c r="A25" s="65">
        <f>A24+1</f>
        <v>2007</v>
      </c>
      <c r="B25" s="67"/>
      <c r="C25" s="67"/>
      <c r="D25" s="68"/>
      <c r="E25" s="275"/>
    </row>
    <row r="26" spans="1:5" ht="24.75" customHeight="1" thickTop="1">
      <c r="A26" s="69" t="s">
        <v>37</v>
      </c>
      <c r="B26" s="70">
        <f>ROUND(+AVERAGE(B21:B25),-1)</f>
        <v>210890</v>
      </c>
      <c r="C26" s="70">
        <f>ROUND(+AVERAGE(C21:C25),-1)</f>
        <v>256390</v>
      </c>
      <c r="D26" s="70">
        <f>ROUND(+AVERAGE(D21:D25),-1)</f>
        <v>10710</v>
      </c>
      <c r="E26" s="274">
        <f>ROUND(+AVERAGE(E21:E25),-1)</f>
        <v>-34800</v>
      </c>
    </row>
    <row r="27" spans="1:5" ht="40.5" customHeight="1">
      <c r="A27" s="277" t="s">
        <v>504</v>
      </c>
      <c r="E27" s="276">
        <f>SUM(E21:E25)</f>
        <v>-104385</v>
      </c>
    </row>
    <row r="28" ht="40.5" customHeight="1">
      <c r="E28" s="332"/>
    </row>
  </sheetData>
  <mergeCells count="3">
    <mergeCell ref="A1:E1"/>
    <mergeCell ref="A10:E10"/>
    <mergeCell ref="A19:E19"/>
  </mergeCells>
  <printOptions/>
  <pageMargins left="0.75" right="0.75" top="1" bottom="1" header="0.5" footer="0.5"/>
  <pageSetup fitToHeight="1" fitToWidth="1" horizontalDpi="600" verticalDpi="600" orientation="portrait" scale="90" r:id="rId1"/>
  <headerFooter alignWithMargins="0">
    <oddHeader>&amp;LRRCA 
Compact Accounting with non-federal reservoir evaporation below Harlan County</oddHeader>
  </headerFooter>
</worksheet>
</file>

<file path=xl/worksheets/sheet19.xml><?xml version="1.0" encoding="utf-8"?>
<worksheet xmlns="http://schemas.openxmlformats.org/spreadsheetml/2006/main" xmlns:r="http://schemas.openxmlformats.org/officeDocument/2006/relationships">
  <sheetPr codeName="Sheet19">
    <pageSetUpPr fitToPage="1"/>
  </sheetPr>
  <dimension ref="A1:J112"/>
  <sheetViews>
    <sheetView workbookViewId="0" topLeftCell="A1">
      <selection activeCell="D12" sqref="D12"/>
    </sheetView>
  </sheetViews>
  <sheetFormatPr defaultColWidth="9.140625" defaultRowHeight="12.75"/>
  <cols>
    <col min="1" max="1" width="11.28125" style="0" customWidth="1"/>
    <col min="2" max="7" width="16.7109375" style="0" customWidth="1"/>
  </cols>
  <sheetData>
    <row r="1" spans="1:7" ht="12.75">
      <c r="A1" s="340" t="s">
        <v>40</v>
      </c>
      <c r="B1" s="340"/>
      <c r="C1" s="340"/>
      <c r="D1" s="340"/>
      <c r="E1" s="340"/>
      <c r="F1" s="340"/>
      <c r="G1" s="340"/>
    </row>
    <row r="2" spans="1:7" ht="49.5" customHeight="1">
      <c r="A2" s="39" t="s">
        <v>7</v>
      </c>
      <c r="B2" s="39" t="s">
        <v>41</v>
      </c>
      <c r="C2" s="39" t="s">
        <v>42</v>
      </c>
      <c r="D2" s="39" t="s">
        <v>43</v>
      </c>
      <c r="E2" s="39" t="s">
        <v>44</v>
      </c>
      <c r="F2" s="39" t="s">
        <v>45</v>
      </c>
      <c r="G2" s="39" t="s">
        <v>46</v>
      </c>
    </row>
    <row r="3" spans="1:7" ht="19.5" customHeight="1">
      <c r="A3" s="40" t="s">
        <v>14</v>
      </c>
      <c r="B3" s="44">
        <f>B28</f>
        <v>9550</v>
      </c>
      <c r="C3" s="44">
        <f>C28</f>
        <v>22593.333333333332</v>
      </c>
      <c r="D3" s="197" t="s">
        <v>364</v>
      </c>
      <c r="E3" s="44">
        <f>E28</f>
        <v>32143.333333333332</v>
      </c>
      <c r="F3" s="44">
        <f>F28</f>
        <v>17190</v>
      </c>
      <c r="G3" s="318">
        <f>G28</f>
        <v>14953.333333333334</v>
      </c>
    </row>
    <row r="4" spans="1:7" ht="19.5" customHeight="1">
      <c r="A4" s="40" t="s">
        <v>15</v>
      </c>
      <c r="B4" s="44">
        <f>B37</f>
        <v>1453.3333333333333</v>
      </c>
      <c r="C4" s="44">
        <f>C37</f>
        <v>-10</v>
      </c>
      <c r="D4" s="197" t="s">
        <v>364</v>
      </c>
      <c r="E4" s="44">
        <f>E37</f>
        <v>1443.3333333333333</v>
      </c>
      <c r="F4" s="44">
        <f>F37</f>
        <v>466.6666666666667</v>
      </c>
      <c r="G4" s="318">
        <f>G37</f>
        <v>976.6666666666666</v>
      </c>
    </row>
    <row r="5" spans="1:7" ht="19.5" customHeight="1">
      <c r="A5" s="40" t="s">
        <v>17</v>
      </c>
      <c r="B5" s="44">
        <f>B46</f>
        <v>11153.333333333334</v>
      </c>
      <c r="C5" s="44">
        <f>C46</f>
        <v>3513.3333333333335</v>
      </c>
      <c r="D5" s="197" t="s">
        <v>364</v>
      </c>
      <c r="E5" s="44">
        <f>E46</f>
        <v>14666.666666666666</v>
      </c>
      <c r="F5" s="44">
        <f>F46</f>
        <v>17183.333333333332</v>
      </c>
      <c r="G5" s="318">
        <f>G46</f>
        <v>-2516.6666666666665</v>
      </c>
    </row>
    <row r="6" spans="1:7" ht="19.5" customHeight="1">
      <c r="A6" s="40" t="s">
        <v>22</v>
      </c>
      <c r="B6" s="44">
        <f>B55</f>
        <v>510</v>
      </c>
      <c r="C6" s="44">
        <f>C55</f>
        <v>16.666666666666668</v>
      </c>
      <c r="D6" s="197" t="s">
        <v>364</v>
      </c>
      <c r="E6" s="44">
        <f>E55</f>
        <v>526.6666666666666</v>
      </c>
      <c r="F6" s="44">
        <f>F55</f>
        <v>0</v>
      </c>
      <c r="G6" s="318">
        <f>G55</f>
        <v>526.6666666666666</v>
      </c>
    </row>
    <row r="8" spans="1:7" ht="12.75">
      <c r="A8" s="340" t="s">
        <v>47</v>
      </c>
      <c r="B8" s="340"/>
      <c r="C8" s="340"/>
      <c r="D8" s="340"/>
      <c r="E8" s="340"/>
      <c r="F8" s="340"/>
      <c r="G8" s="340"/>
    </row>
    <row r="9" spans="1:8" ht="54.75" customHeight="1">
      <c r="A9" s="39" t="s">
        <v>7</v>
      </c>
      <c r="B9" s="39" t="s">
        <v>41</v>
      </c>
      <c r="C9" s="39" t="s">
        <v>42</v>
      </c>
      <c r="D9" s="196" t="s">
        <v>470</v>
      </c>
      <c r="E9" s="39" t="s">
        <v>43</v>
      </c>
      <c r="F9" s="39" t="s">
        <v>471</v>
      </c>
      <c r="G9" s="39" t="s">
        <v>45</v>
      </c>
      <c r="H9" s="39" t="s">
        <v>46</v>
      </c>
    </row>
    <row r="10" spans="1:8" ht="19.5" customHeight="1">
      <c r="A10" s="40" t="s">
        <v>15</v>
      </c>
      <c r="B10" s="44">
        <f>B67</f>
        <v>96.66666666666667</v>
      </c>
      <c r="C10" s="44">
        <f>C67</f>
        <v>-10</v>
      </c>
      <c r="D10" s="44">
        <f>D67</f>
        <v>986.6666666666666</v>
      </c>
      <c r="E10" s="197" t="s">
        <v>364</v>
      </c>
      <c r="F10" s="44">
        <f>F67</f>
        <v>1073.3333333333333</v>
      </c>
      <c r="G10" s="44">
        <f>G67</f>
        <v>140</v>
      </c>
      <c r="H10" s="318">
        <f>H67</f>
        <v>933.3333333333334</v>
      </c>
    </row>
    <row r="11" spans="1:8" ht="19.5" customHeight="1">
      <c r="A11" s="40" t="s">
        <v>17</v>
      </c>
      <c r="B11" s="44">
        <f>B76</f>
        <v>10100</v>
      </c>
      <c r="C11" s="44">
        <f>C76</f>
        <v>3513.3333333333335</v>
      </c>
      <c r="D11" s="44">
        <f>D76</f>
        <v>0</v>
      </c>
      <c r="E11" s="197" t="s">
        <v>364</v>
      </c>
      <c r="F11" s="44">
        <f>F76</f>
        <v>13613.333333333334</v>
      </c>
      <c r="G11" s="44">
        <f>G76</f>
        <v>6326.666666666667</v>
      </c>
      <c r="H11" s="318">
        <f>H76</f>
        <v>7286.666666666667</v>
      </c>
    </row>
    <row r="12" spans="1:8" ht="19.5" customHeight="1">
      <c r="A12" s="40" t="s">
        <v>19</v>
      </c>
      <c r="B12" s="44">
        <f>B85</f>
        <v>196.66666666666666</v>
      </c>
      <c r="C12" s="44">
        <f>C85</f>
        <v>2200</v>
      </c>
      <c r="D12" s="44">
        <f>D85</f>
        <v>0</v>
      </c>
      <c r="E12" s="197" t="s">
        <v>364</v>
      </c>
      <c r="F12" s="44">
        <f>F85</f>
        <v>2396.6666666666665</v>
      </c>
      <c r="G12" s="44">
        <f>G85</f>
        <v>6.666666666666667</v>
      </c>
      <c r="H12" s="318">
        <f>H85</f>
        <v>2390</v>
      </c>
    </row>
    <row r="13" spans="1:8" ht="19.5" customHeight="1">
      <c r="A13" s="40" t="s">
        <v>22</v>
      </c>
      <c r="B13" s="44">
        <f>B94</f>
        <v>993.3333333333334</v>
      </c>
      <c r="C13" s="44">
        <f>C94</f>
        <v>16.666666666666668</v>
      </c>
      <c r="D13" s="44">
        <f>D94</f>
        <v>510</v>
      </c>
      <c r="E13" s="197" t="s">
        <v>364</v>
      </c>
      <c r="F13" s="44">
        <f>F94</f>
        <v>1520</v>
      </c>
      <c r="G13" s="44">
        <f>G94</f>
        <v>770</v>
      </c>
      <c r="H13" s="318">
        <f>H94</f>
        <v>750</v>
      </c>
    </row>
    <row r="14" spans="1:8" ht="19.5" customHeight="1">
      <c r="A14" s="40" t="s">
        <v>23</v>
      </c>
      <c r="B14" s="44">
        <f>B103</f>
        <v>63.333333333333336</v>
      </c>
      <c r="C14" s="44">
        <f>C103</f>
        <v>30</v>
      </c>
      <c r="D14" s="44">
        <f>D103</f>
        <v>0</v>
      </c>
      <c r="E14" s="197" t="s">
        <v>364</v>
      </c>
      <c r="F14" s="44">
        <f>F103</f>
        <v>93.33333333333333</v>
      </c>
      <c r="G14" s="44">
        <f>G103</f>
        <v>-450</v>
      </c>
      <c r="H14" s="318">
        <f>H103</f>
        <v>543.3333333333334</v>
      </c>
    </row>
    <row r="15" spans="1:8" ht="19.5" customHeight="1">
      <c r="A15" s="40" t="s">
        <v>24</v>
      </c>
      <c r="B15" s="44">
        <f>B112</f>
        <v>3663.3333333333335</v>
      </c>
      <c r="C15" s="44">
        <f>C112</f>
        <v>3750</v>
      </c>
      <c r="D15" s="44">
        <f>D112</f>
        <v>0</v>
      </c>
      <c r="E15" s="197" t="s">
        <v>364</v>
      </c>
      <c r="F15" s="44">
        <f>F112</f>
        <v>7413.333333333333</v>
      </c>
      <c r="G15" s="44">
        <f>G112</f>
        <v>6460</v>
      </c>
      <c r="H15" s="318">
        <f>H112</f>
        <v>953.3333333333334</v>
      </c>
    </row>
    <row r="17" ht="12.75">
      <c r="A17" s="310"/>
    </row>
    <row r="18" ht="12.75">
      <c r="A18" s="311" t="s">
        <v>559</v>
      </c>
    </row>
    <row r="20" spans="1:7" ht="39.75" customHeight="1">
      <c r="A20" s="310" t="s">
        <v>7</v>
      </c>
      <c r="B20" s="39" t="s">
        <v>35</v>
      </c>
      <c r="C20" s="39" t="s">
        <v>556</v>
      </c>
      <c r="D20" s="39" t="s">
        <v>557</v>
      </c>
      <c r="E20" s="39" t="s">
        <v>44</v>
      </c>
      <c r="F20" s="39" t="s">
        <v>558</v>
      </c>
      <c r="G20" s="39" t="s">
        <v>46</v>
      </c>
    </row>
    <row r="21" ht="12.75">
      <c r="A21" s="314" t="s">
        <v>14</v>
      </c>
    </row>
    <row r="23" spans="1:8" ht="12.75">
      <c r="A23" s="40">
        <v>2003</v>
      </c>
      <c r="B23" s="33">
        <f>'T1'!D32</f>
        <v>9120</v>
      </c>
      <c r="C23" s="33">
        <f>'T1'!G32</f>
        <v>21590</v>
      </c>
      <c r="D23" s="313" t="s">
        <v>364</v>
      </c>
      <c r="E23" s="33">
        <f>C23+B23</f>
        <v>30710</v>
      </c>
      <c r="F23" s="33">
        <f>'T1'!H32</f>
        <v>16640</v>
      </c>
      <c r="G23" s="33">
        <f>E23-F23</f>
        <v>14070</v>
      </c>
      <c r="H23" s="33"/>
    </row>
    <row r="24" spans="1:7" ht="12.75">
      <c r="A24" s="40">
        <f>A23+1</f>
        <v>2004</v>
      </c>
      <c r="B24" s="33">
        <f>'T1'!D54</f>
        <v>9490</v>
      </c>
      <c r="C24" s="33">
        <f>'T1'!G54</f>
        <v>22450</v>
      </c>
      <c r="D24" s="313" t="s">
        <v>364</v>
      </c>
      <c r="E24" s="33">
        <f>C24+B24</f>
        <v>31940</v>
      </c>
      <c r="F24" s="33">
        <f>'T1'!H54</f>
        <v>17400</v>
      </c>
      <c r="G24" s="33">
        <f>E24-F24</f>
        <v>14540</v>
      </c>
    </row>
    <row r="25" spans="1:7" ht="12.75">
      <c r="A25" s="40">
        <f>A24+1</f>
        <v>2005</v>
      </c>
      <c r="B25" s="33">
        <f>'T1'!D76</f>
        <v>10040</v>
      </c>
      <c r="C25" s="33">
        <f>'T1'!G76</f>
        <v>23740</v>
      </c>
      <c r="D25" s="313" t="s">
        <v>364</v>
      </c>
      <c r="E25" s="33">
        <f>C25+B25</f>
        <v>33780</v>
      </c>
      <c r="F25" s="33">
        <f>'T1'!H76</f>
        <v>17530</v>
      </c>
      <c r="G25" s="33">
        <f>E25-F25</f>
        <v>16250</v>
      </c>
    </row>
    <row r="26" spans="1:7" ht="12.75">
      <c r="A26" s="40">
        <f>A25+1</f>
        <v>2006</v>
      </c>
      <c r="B26" s="33"/>
      <c r="C26" s="33"/>
      <c r="D26" s="313"/>
      <c r="E26" s="33"/>
      <c r="F26" s="33"/>
      <c r="G26" s="33"/>
    </row>
    <row r="27" spans="1:7" ht="12.75">
      <c r="A27" s="40">
        <f>A26+1</f>
        <v>2007</v>
      </c>
      <c r="B27" s="33"/>
      <c r="C27" s="33"/>
      <c r="D27" s="313"/>
      <c r="E27" s="33"/>
      <c r="F27" s="33"/>
      <c r="G27" s="33"/>
    </row>
    <row r="28" spans="1:7" ht="12.75">
      <c r="A28" s="40" t="s">
        <v>37</v>
      </c>
      <c r="B28" s="33">
        <f>AVERAGE(B23:B27)</f>
        <v>9550</v>
      </c>
      <c r="C28" s="33">
        <f>AVERAGE(C23:C27)</f>
        <v>22593.333333333332</v>
      </c>
      <c r="E28" s="33">
        <f>AVERAGE(E23:E27)</f>
        <v>32143.333333333332</v>
      </c>
      <c r="F28" s="33">
        <f>AVERAGE(F23:F27)</f>
        <v>17190</v>
      </c>
      <c r="G28" s="33">
        <f>AVERAGE(G23:G27)</f>
        <v>14953.333333333334</v>
      </c>
    </row>
    <row r="29" spans="1:2" ht="12.75">
      <c r="A29" s="40"/>
      <c r="B29" s="33"/>
    </row>
    <row r="30" ht="12.75">
      <c r="A30" s="314" t="s">
        <v>15</v>
      </c>
    </row>
    <row r="31" ht="12.75">
      <c r="A31" s="40"/>
    </row>
    <row r="32" spans="1:7" ht="12.75">
      <c r="A32" s="40">
        <v>2003</v>
      </c>
      <c r="B32" s="33">
        <f>'T1'!D33</f>
        <v>1500</v>
      </c>
      <c r="C32" s="33">
        <f>'T1'!G33</f>
        <v>-10</v>
      </c>
      <c r="D32" s="313" t="s">
        <v>364</v>
      </c>
      <c r="E32" s="33">
        <f>C32+B32</f>
        <v>1490</v>
      </c>
      <c r="F32" s="33">
        <f>'T1'!H33</f>
        <v>240</v>
      </c>
      <c r="G32" s="33">
        <f>E32-F32</f>
        <v>1250</v>
      </c>
    </row>
    <row r="33" spans="1:7" ht="12.75">
      <c r="A33" s="40">
        <f>A32+1</f>
        <v>2004</v>
      </c>
      <c r="B33" s="33">
        <f>'T1'!D55</f>
        <v>1000</v>
      </c>
      <c r="C33" s="33">
        <f>'T1'!G55</f>
        <v>-10</v>
      </c>
      <c r="D33" s="313" t="s">
        <v>364</v>
      </c>
      <c r="E33" s="33">
        <f>C33+B33</f>
        <v>990</v>
      </c>
      <c r="F33" s="33">
        <f>'T1'!H55</f>
        <v>350</v>
      </c>
      <c r="G33" s="33">
        <f>E33-F33</f>
        <v>640</v>
      </c>
    </row>
    <row r="34" spans="1:7" ht="12.75">
      <c r="A34" s="40">
        <f>A33+1</f>
        <v>2005</v>
      </c>
      <c r="B34" s="33">
        <f>'T1'!D77</f>
        <v>1860</v>
      </c>
      <c r="C34" s="33">
        <f>'T1'!G77</f>
        <v>-10</v>
      </c>
      <c r="D34" s="313" t="s">
        <v>364</v>
      </c>
      <c r="E34" s="33">
        <f>C34+B34</f>
        <v>1850</v>
      </c>
      <c r="F34" s="33">
        <f>'T1'!H77</f>
        <v>810</v>
      </c>
      <c r="G34" s="33">
        <f>E34-F34</f>
        <v>1040</v>
      </c>
    </row>
    <row r="35" spans="1:7" ht="12.75">
      <c r="A35" s="40">
        <f>A34+1</f>
        <v>2006</v>
      </c>
      <c r="D35" s="313"/>
      <c r="E35" s="33"/>
      <c r="G35" s="33"/>
    </row>
    <row r="36" spans="1:7" ht="12.75">
      <c r="A36" s="40">
        <f>A35+1</f>
        <v>2007</v>
      </c>
      <c r="D36" s="313"/>
      <c r="E36" s="33"/>
      <c r="G36" s="33"/>
    </row>
    <row r="37" spans="1:7" ht="12.75">
      <c r="A37" s="40" t="s">
        <v>37</v>
      </c>
      <c r="B37" s="33">
        <f>AVERAGE(B32:B36)</f>
        <v>1453.3333333333333</v>
      </c>
      <c r="C37" s="33">
        <f>AVERAGE(C32:C36)</f>
        <v>-10</v>
      </c>
      <c r="E37" s="33">
        <f>AVERAGE(E32:E36)</f>
        <v>1443.3333333333333</v>
      </c>
      <c r="F37" s="33">
        <f>AVERAGE(F32:F36)</f>
        <v>466.6666666666667</v>
      </c>
      <c r="G37" s="33">
        <f>AVERAGE(G32:G36)</f>
        <v>976.6666666666666</v>
      </c>
    </row>
    <row r="38" ht="12.75">
      <c r="A38" s="40"/>
    </row>
    <row r="39" spans="1:8" ht="12.75">
      <c r="A39" s="314" t="s">
        <v>17</v>
      </c>
      <c r="H39" s="33"/>
    </row>
    <row r="40" spans="1:8" ht="12.75">
      <c r="A40" s="40"/>
      <c r="B40" s="33"/>
      <c r="H40" s="33"/>
    </row>
    <row r="41" spans="1:8" ht="12.75">
      <c r="A41" s="40">
        <v>2003</v>
      </c>
      <c r="B41" s="33">
        <f>'T1'!D36</f>
        <v>10540</v>
      </c>
      <c r="C41" s="33">
        <f>'T1'!G36</f>
        <v>3320</v>
      </c>
      <c r="D41" s="313" t="s">
        <v>364</v>
      </c>
      <c r="E41" s="33">
        <f>C41+B41</f>
        <v>13860</v>
      </c>
      <c r="F41" s="33">
        <f>'T1'!H36</f>
        <v>16090</v>
      </c>
      <c r="G41" s="33">
        <f>E41-F41</f>
        <v>-2230</v>
      </c>
      <c r="H41" s="33"/>
    </row>
    <row r="42" spans="1:8" ht="12.75">
      <c r="A42" s="40">
        <f>A41+1</f>
        <v>2004</v>
      </c>
      <c r="B42" s="33">
        <f>'T1'!D58</f>
        <v>10690</v>
      </c>
      <c r="C42" s="33">
        <f>'T1'!G58</f>
        <v>3370</v>
      </c>
      <c r="D42" s="313" t="s">
        <v>364</v>
      </c>
      <c r="E42" s="33">
        <f>C42+B42</f>
        <v>14060</v>
      </c>
      <c r="F42" s="33">
        <f>'T1'!H58</f>
        <v>16800</v>
      </c>
      <c r="G42" s="33">
        <f>E42-F42</f>
        <v>-2740</v>
      </c>
      <c r="H42" s="33"/>
    </row>
    <row r="43" spans="1:8" ht="12.75">
      <c r="A43" s="40">
        <f>A42+1</f>
        <v>2005</v>
      </c>
      <c r="B43" s="33">
        <f>'T1'!D80</f>
        <v>12230</v>
      </c>
      <c r="C43" s="33">
        <f>'T1'!G80</f>
        <v>3850</v>
      </c>
      <c r="D43" s="313" t="s">
        <v>364</v>
      </c>
      <c r="E43" s="33">
        <f>C43+B43</f>
        <v>16080</v>
      </c>
      <c r="F43" s="33">
        <f>'T1'!H80</f>
        <v>18660</v>
      </c>
      <c r="G43" s="33">
        <f>E43-F43</f>
        <v>-2580</v>
      </c>
      <c r="H43" s="33"/>
    </row>
    <row r="44" spans="1:8" ht="12.75">
      <c r="A44" s="40">
        <f>A43+1</f>
        <v>2006</v>
      </c>
      <c r="B44" s="33"/>
      <c r="D44" s="313"/>
      <c r="E44" s="33"/>
      <c r="H44" s="33"/>
    </row>
    <row r="45" spans="1:8" ht="12.75">
      <c r="A45" s="40">
        <f>A44+1</f>
        <v>2007</v>
      </c>
      <c r="B45" s="33"/>
      <c r="D45" s="313"/>
      <c r="E45" s="33"/>
      <c r="H45" s="33"/>
    </row>
    <row r="46" spans="1:8" ht="12.75">
      <c r="A46" s="40" t="s">
        <v>37</v>
      </c>
      <c r="B46" s="33">
        <f>AVERAGE(B41:B45)</f>
        <v>11153.333333333334</v>
      </c>
      <c r="C46" s="33">
        <f>AVERAGE(C41:C45)</f>
        <v>3513.3333333333335</v>
      </c>
      <c r="E46" s="33">
        <f>AVERAGE(E41:E45)</f>
        <v>14666.666666666666</v>
      </c>
      <c r="F46" s="33">
        <f>AVERAGE(F41:F45)</f>
        <v>17183.333333333332</v>
      </c>
      <c r="G46" s="33">
        <f>AVERAGE(G41:G45)</f>
        <v>-2516.6666666666665</v>
      </c>
      <c r="H46" s="33"/>
    </row>
    <row r="48" ht="12.75">
      <c r="A48" s="3" t="s">
        <v>22</v>
      </c>
    </row>
    <row r="50" spans="1:7" ht="12.75">
      <c r="A50" s="40">
        <v>2003</v>
      </c>
      <c r="B50" s="33">
        <f>'T1'!D41</f>
        <v>260</v>
      </c>
      <c r="C50" s="33">
        <f>'T1'!G41</f>
        <v>10</v>
      </c>
      <c r="D50" s="313" t="s">
        <v>364</v>
      </c>
      <c r="E50" s="33">
        <f>C50+B50</f>
        <v>270</v>
      </c>
      <c r="F50" s="33">
        <f>'T1'!H41</f>
        <v>0</v>
      </c>
      <c r="G50" s="33">
        <f>E50-F50</f>
        <v>270</v>
      </c>
    </row>
    <row r="51" spans="1:7" ht="12.75">
      <c r="A51" s="40">
        <f>A50+1</f>
        <v>2004</v>
      </c>
      <c r="B51" s="33">
        <f>'T1'!D63</f>
        <v>360</v>
      </c>
      <c r="C51" s="33">
        <f>'T1'!G63</f>
        <v>10</v>
      </c>
      <c r="D51" s="313" t="s">
        <v>364</v>
      </c>
      <c r="E51" s="33">
        <f>C51+B51</f>
        <v>370</v>
      </c>
      <c r="F51" s="33">
        <f>'T1'!H63</f>
        <v>0</v>
      </c>
      <c r="G51" s="33">
        <f>E51-F51</f>
        <v>370</v>
      </c>
    </row>
    <row r="52" spans="1:7" ht="12.75">
      <c r="A52" s="40">
        <f>A51+1</f>
        <v>2005</v>
      </c>
      <c r="B52" s="33">
        <f>'T1'!D85</f>
        <v>910</v>
      </c>
      <c r="C52" s="33">
        <f>'T1'!G85</f>
        <v>30</v>
      </c>
      <c r="D52" s="313" t="s">
        <v>364</v>
      </c>
      <c r="E52" s="33">
        <f>C52+B52</f>
        <v>940</v>
      </c>
      <c r="F52" s="33">
        <f>'T1'!H85</f>
        <v>0</v>
      </c>
      <c r="G52" s="33">
        <f>E52-F52</f>
        <v>940</v>
      </c>
    </row>
    <row r="53" ht="12.75">
      <c r="A53" s="40">
        <f>A52+1</f>
        <v>2006</v>
      </c>
    </row>
    <row r="54" ht="12.75">
      <c r="A54" s="40">
        <f>A53+1</f>
        <v>2007</v>
      </c>
    </row>
    <row r="55" spans="1:7" ht="12.75">
      <c r="A55" s="40" t="s">
        <v>37</v>
      </c>
      <c r="B55" s="33">
        <f>AVERAGE(B50:B54)</f>
        <v>510</v>
      </c>
      <c r="C55" s="33">
        <f>AVERAGE(C50:C54)</f>
        <v>16.666666666666668</v>
      </c>
      <c r="E55" s="33">
        <f>AVERAGE(E50:E54)</f>
        <v>526.6666666666666</v>
      </c>
      <c r="F55" s="33">
        <f>AVERAGE(F50:F54)</f>
        <v>0</v>
      </c>
      <c r="G55" s="33">
        <f>AVERAGE(G50:G54)</f>
        <v>526.6666666666666</v>
      </c>
    </row>
    <row r="56" ht="12.75">
      <c r="H56" s="33"/>
    </row>
    <row r="57" ht="12.75">
      <c r="A57" s="311" t="s">
        <v>560</v>
      </c>
    </row>
    <row r="58" spans="1:8" ht="38.25">
      <c r="A58" s="39" t="s">
        <v>7</v>
      </c>
      <c r="B58" s="39" t="s">
        <v>35</v>
      </c>
      <c r="C58" s="39" t="s">
        <v>556</v>
      </c>
      <c r="D58" s="196" t="s">
        <v>561</v>
      </c>
      <c r="E58" s="39" t="s">
        <v>36</v>
      </c>
      <c r="F58" s="39" t="s">
        <v>562</v>
      </c>
      <c r="G58" s="39" t="s">
        <v>3</v>
      </c>
      <c r="H58" s="39" t="s">
        <v>46</v>
      </c>
    </row>
    <row r="60" ht="12.75">
      <c r="A60" s="314" t="s">
        <v>15</v>
      </c>
    </row>
    <row r="61" spans="1:10" ht="12.75">
      <c r="A61" s="40"/>
      <c r="J61" s="33"/>
    </row>
    <row r="62" spans="1:10" ht="12.75">
      <c r="A62" s="40">
        <v>2003</v>
      </c>
      <c r="B62" s="33">
        <f>'T1'!E33</f>
        <v>100</v>
      </c>
      <c r="C62" s="33">
        <f>'T1'!G33</f>
        <v>-10</v>
      </c>
      <c r="D62" s="33">
        <f>MAX(0,'T1'!D33-'T1'!H33)</f>
        <v>1260</v>
      </c>
      <c r="E62" s="313" t="s">
        <v>364</v>
      </c>
      <c r="F62" s="33">
        <f>SUM(B62:D62)</f>
        <v>1350</v>
      </c>
      <c r="G62" s="33">
        <f>'T1'!I33</f>
        <v>100</v>
      </c>
      <c r="H62" s="33">
        <f>F62-G62</f>
        <v>1250</v>
      </c>
      <c r="I62" s="33"/>
      <c r="J62" s="33"/>
    </row>
    <row r="63" spans="1:10" ht="12.75">
      <c r="A63" s="40">
        <f>A62+1</f>
        <v>2004</v>
      </c>
      <c r="B63" s="33">
        <f>'T1'!E55</f>
        <v>70</v>
      </c>
      <c r="C63" s="33">
        <f>'T1'!G55</f>
        <v>-10</v>
      </c>
      <c r="D63" s="33">
        <f>MAX(0,'T1'!D55-'T1'!H55)</f>
        <v>650</v>
      </c>
      <c r="E63" s="313" t="s">
        <v>364</v>
      </c>
      <c r="F63" s="33">
        <f>SUM(B63:D63)</f>
        <v>710</v>
      </c>
      <c r="G63" s="33">
        <f>'T1'!I55</f>
        <v>160</v>
      </c>
      <c r="H63" s="33">
        <f>F63-G63</f>
        <v>550</v>
      </c>
      <c r="J63" s="33"/>
    </row>
    <row r="64" spans="1:10" ht="12.75">
      <c r="A64" s="40">
        <f>A63+1</f>
        <v>2005</v>
      </c>
      <c r="B64" s="33">
        <f>'T1'!E77</f>
        <v>120</v>
      </c>
      <c r="C64" s="33">
        <f>'T1'!G77</f>
        <v>-10</v>
      </c>
      <c r="D64" s="33">
        <f>MAX(0,'T1'!D77-'T1'!H77)</f>
        <v>1050</v>
      </c>
      <c r="E64" s="313" t="s">
        <v>364</v>
      </c>
      <c r="F64" s="33">
        <f>SUM(B64:D64)</f>
        <v>1160</v>
      </c>
      <c r="G64" s="33">
        <f>'T1'!I77</f>
        <v>160</v>
      </c>
      <c r="H64" s="33">
        <f>F64-G64</f>
        <v>1000</v>
      </c>
      <c r="J64" s="33"/>
    </row>
    <row r="65" spans="1:10" ht="12.75">
      <c r="A65" s="40">
        <f>A64+1</f>
        <v>2006</v>
      </c>
      <c r="J65" s="33"/>
    </row>
    <row r="66" spans="1:10" ht="12.75">
      <c r="A66" s="40">
        <f>A65+1</f>
        <v>2007</v>
      </c>
      <c r="J66" s="33"/>
    </row>
    <row r="67" spans="1:10" ht="12.75">
      <c r="A67" s="40" t="s">
        <v>37</v>
      </c>
      <c r="B67" s="33">
        <f>AVERAGE(B62:B66)</f>
        <v>96.66666666666667</v>
      </c>
      <c r="C67" s="33">
        <f>AVERAGE(C62:C66)</f>
        <v>-10</v>
      </c>
      <c r="D67" s="33">
        <f>AVERAGE(D62:D66)</f>
        <v>986.6666666666666</v>
      </c>
      <c r="E67" s="33"/>
      <c r="F67" s="33">
        <f>AVERAGE(F62:F66)</f>
        <v>1073.3333333333333</v>
      </c>
      <c r="G67" s="33">
        <f>AVERAGE(G62:G66)</f>
        <v>140</v>
      </c>
      <c r="H67" s="33">
        <f>AVERAGE(H62:H66)</f>
        <v>933.3333333333334</v>
      </c>
      <c r="J67" s="33"/>
    </row>
    <row r="68" spans="1:10" ht="12.75">
      <c r="A68" s="40"/>
      <c r="J68" s="33"/>
    </row>
    <row r="69" ht="12.75">
      <c r="A69" s="314" t="s">
        <v>17</v>
      </c>
    </row>
    <row r="70" spans="1:9" ht="12.75">
      <c r="A70" s="40"/>
      <c r="I70" s="33"/>
    </row>
    <row r="71" spans="1:9" ht="12.75">
      <c r="A71" s="40">
        <v>2003</v>
      </c>
      <c r="B71" s="33">
        <f>'T1'!E36</f>
        <v>9540</v>
      </c>
      <c r="C71" s="33">
        <f>'T1'!G36</f>
        <v>3320</v>
      </c>
      <c r="D71" s="33">
        <f>MAX(0,'T1'!D36-'T1'!H36)</f>
        <v>0</v>
      </c>
      <c r="E71" s="313" t="s">
        <v>364</v>
      </c>
      <c r="F71" s="33">
        <f>SUM(B71:D71)</f>
        <v>12860</v>
      </c>
      <c r="G71" s="33">
        <f>'T1'!I36</f>
        <v>5380</v>
      </c>
      <c r="H71" s="33">
        <f>F71-G71</f>
        <v>7480</v>
      </c>
      <c r="I71" s="33"/>
    </row>
    <row r="72" spans="1:9" ht="12.75">
      <c r="A72" s="40">
        <f>A71+1</f>
        <v>2004</v>
      </c>
      <c r="B72" s="33">
        <f>'T1'!E58</f>
        <v>9680</v>
      </c>
      <c r="C72" s="33">
        <f>'T1'!G58</f>
        <v>3370</v>
      </c>
      <c r="D72" s="33">
        <f>MAX(0,'T1'!D58-'T1'!H58)</f>
        <v>0</v>
      </c>
      <c r="E72" s="313" t="s">
        <v>364</v>
      </c>
      <c r="F72" s="33">
        <f>SUM(B72:D72)</f>
        <v>13050</v>
      </c>
      <c r="G72" s="33">
        <f>'T1'!I58</f>
        <v>6080</v>
      </c>
      <c r="H72" s="33">
        <f>F72-G72</f>
        <v>6970</v>
      </c>
      <c r="I72" s="33"/>
    </row>
    <row r="73" spans="1:9" ht="12.75">
      <c r="A73" s="40">
        <f>A72+1</f>
        <v>2005</v>
      </c>
      <c r="B73" s="33">
        <f>'T1'!E80</f>
        <v>11080</v>
      </c>
      <c r="C73" s="33">
        <f>'T1'!G80</f>
        <v>3850</v>
      </c>
      <c r="D73" s="33">
        <f>MAX(0,'T1'!D80-'T1'!H80)</f>
        <v>0</v>
      </c>
      <c r="E73" s="313" t="s">
        <v>364</v>
      </c>
      <c r="F73" s="33">
        <f>SUM(B73:D73)</f>
        <v>14930</v>
      </c>
      <c r="G73" s="33">
        <f>'T1'!I80</f>
        <v>7520</v>
      </c>
      <c r="H73" s="33">
        <f>F73-G73</f>
        <v>7410</v>
      </c>
      <c r="I73" s="33"/>
    </row>
    <row r="74" spans="1:9" ht="12.75">
      <c r="A74" s="40">
        <f>A73+1</f>
        <v>2006</v>
      </c>
      <c r="I74" s="33"/>
    </row>
    <row r="75" spans="1:9" ht="12.75">
      <c r="A75" s="40">
        <f>A74+1</f>
        <v>2007</v>
      </c>
      <c r="I75" s="33"/>
    </row>
    <row r="76" spans="1:9" ht="12.75">
      <c r="A76" s="40" t="s">
        <v>37</v>
      </c>
      <c r="B76" s="33">
        <f>AVERAGE(B71:B75)</f>
        <v>10100</v>
      </c>
      <c r="C76" s="33">
        <f>AVERAGE(C71:C75)</f>
        <v>3513.3333333333335</v>
      </c>
      <c r="D76" s="33">
        <f>AVERAGE(D71:D75)</f>
        <v>0</v>
      </c>
      <c r="E76" s="33"/>
      <c r="F76" s="33">
        <f>AVERAGE(F71:F75)</f>
        <v>13613.333333333334</v>
      </c>
      <c r="G76" s="33">
        <f>AVERAGE(G71:G75)</f>
        <v>6326.666666666667</v>
      </c>
      <c r="H76" s="33">
        <f>AVERAGE(H71:H75)</f>
        <v>7286.666666666667</v>
      </c>
      <c r="I76" s="33"/>
    </row>
    <row r="77" spans="1:9" ht="12.75">
      <c r="A77" s="40"/>
      <c r="I77" s="33"/>
    </row>
    <row r="78" spans="1:9" ht="12.75">
      <c r="A78" s="314" t="s">
        <v>19</v>
      </c>
      <c r="I78" s="33"/>
    </row>
    <row r="79" spans="1:9" ht="12.75">
      <c r="A79" s="40"/>
      <c r="I79" s="33"/>
    </row>
    <row r="80" spans="1:9" ht="12.75">
      <c r="A80" s="40">
        <v>2003</v>
      </c>
      <c r="B80" s="33">
        <f>'T1'!E38</f>
        <v>170</v>
      </c>
      <c r="C80" s="33">
        <f>'T1'!G38</f>
        <v>1910</v>
      </c>
      <c r="D80" s="33">
        <f>MAX(0,'T1'!D38-'T1'!H38)</f>
        <v>0</v>
      </c>
      <c r="E80" s="313" t="s">
        <v>364</v>
      </c>
      <c r="F80" s="33">
        <f>SUM(B80:D80)</f>
        <v>2080</v>
      </c>
      <c r="G80" s="33">
        <f>'T1'!I38</f>
        <v>0</v>
      </c>
      <c r="H80" s="33">
        <f>F80-G80</f>
        <v>2080</v>
      </c>
      <c r="I80" s="33"/>
    </row>
    <row r="81" spans="1:9" ht="12.75">
      <c r="A81" s="40">
        <f>A80+1</f>
        <v>2004</v>
      </c>
      <c r="B81" s="33">
        <f>'T1'!E60</f>
        <v>190</v>
      </c>
      <c r="C81" s="33">
        <f>'T1'!G60</f>
        <v>2080</v>
      </c>
      <c r="D81" s="33">
        <f>MAX(0,'T1'!D60-'T1'!H60)</f>
        <v>0</v>
      </c>
      <c r="E81" s="313" t="s">
        <v>364</v>
      </c>
      <c r="F81" s="33">
        <f>SUM(B81:D81)</f>
        <v>2270</v>
      </c>
      <c r="G81" s="33">
        <f>'T1'!I60</f>
        <v>10</v>
      </c>
      <c r="H81" s="33">
        <f>F81-G81</f>
        <v>2260</v>
      </c>
      <c r="I81" s="33"/>
    </row>
    <row r="82" spans="1:9" ht="12.75">
      <c r="A82" s="40">
        <f>A81+1</f>
        <v>2005</v>
      </c>
      <c r="B82" s="33">
        <f>'T1'!E82</f>
        <v>230</v>
      </c>
      <c r="C82" s="33">
        <f>'T1'!G82</f>
        <v>2610</v>
      </c>
      <c r="D82" s="33">
        <f>MAX(0,'T1'!D82-'T1'!H82)</f>
        <v>0</v>
      </c>
      <c r="E82" s="313" t="s">
        <v>364</v>
      </c>
      <c r="F82" s="33">
        <f>SUM(B82:D82)</f>
        <v>2840</v>
      </c>
      <c r="G82" s="33">
        <f>'T1'!I82</f>
        <v>10</v>
      </c>
      <c r="H82" s="33">
        <f>F82-G82</f>
        <v>2830</v>
      </c>
      <c r="I82" s="33"/>
    </row>
    <row r="83" spans="1:9" ht="12.75">
      <c r="A83" s="40">
        <f>A82+1</f>
        <v>2006</v>
      </c>
      <c r="I83" s="33"/>
    </row>
    <row r="84" spans="1:9" ht="12.75">
      <c r="A84" s="40">
        <f>A83+1</f>
        <v>2007</v>
      </c>
      <c r="I84" s="33"/>
    </row>
    <row r="85" spans="1:9" ht="12.75">
      <c r="A85" s="40" t="s">
        <v>37</v>
      </c>
      <c r="B85" s="33">
        <f>AVERAGE(B80:B84)</f>
        <v>196.66666666666666</v>
      </c>
      <c r="C85" s="33">
        <f>AVERAGE(C80:C84)</f>
        <v>2200</v>
      </c>
      <c r="D85" s="33">
        <f>AVERAGE(D80:D84)</f>
        <v>0</v>
      </c>
      <c r="E85" s="33"/>
      <c r="F85" s="33">
        <f>AVERAGE(F80:F84)</f>
        <v>2396.6666666666665</v>
      </c>
      <c r="G85" s="33">
        <f>AVERAGE(G80:G84)</f>
        <v>6.666666666666667</v>
      </c>
      <c r="H85" s="33">
        <f>AVERAGE(H80:H84)</f>
        <v>2390</v>
      </c>
      <c r="I85" s="33"/>
    </row>
    <row r="86" spans="1:9" ht="12.75">
      <c r="A86" s="40"/>
      <c r="I86" s="33"/>
    </row>
    <row r="87" spans="1:9" ht="12.75">
      <c r="A87" s="314" t="s">
        <v>22</v>
      </c>
      <c r="I87" s="33"/>
    </row>
    <row r="88" spans="1:9" ht="12.75">
      <c r="A88" s="314"/>
      <c r="I88" s="33"/>
    </row>
    <row r="89" spans="1:9" ht="12.75">
      <c r="A89" s="40">
        <v>2003</v>
      </c>
      <c r="B89" s="33">
        <f>'T1'!E41</f>
        <v>500</v>
      </c>
      <c r="C89" s="33">
        <f>'T1'!G41</f>
        <v>10</v>
      </c>
      <c r="D89" s="33">
        <f>MAX(0,'T1'!D41-'T1'!H41)</f>
        <v>260</v>
      </c>
      <c r="E89" s="313" t="s">
        <v>364</v>
      </c>
      <c r="F89" s="33">
        <f>SUM(B89:D89)</f>
        <v>770</v>
      </c>
      <c r="G89" s="33">
        <f>'T1'!I41</f>
        <v>290</v>
      </c>
      <c r="H89" s="33">
        <f>F89-G89</f>
        <v>480</v>
      </c>
      <c r="I89" s="33"/>
    </row>
    <row r="90" spans="1:9" ht="12.75">
      <c r="A90" s="40">
        <f>A89+1</f>
        <v>2004</v>
      </c>
      <c r="B90" s="33">
        <f>'T1'!E63</f>
        <v>710</v>
      </c>
      <c r="C90" s="33">
        <f>'T1'!G63</f>
        <v>10</v>
      </c>
      <c r="D90" s="33">
        <f>MAX(0,'T1'!D63-'T1'!H63)</f>
        <v>360</v>
      </c>
      <c r="E90" s="313" t="s">
        <v>364</v>
      </c>
      <c r="F90" s="33">
        <f>SUM(B90:D90)</f>
        <v>1080</v>
      </c>
      <c r="G90" s="33">
        <f>'T1'!I63</f>
        <v>360</v>
      </c>
      <c r="H90" s="33">
        <f>F90-G90</f>
        <v>720</v>
      </c>
      <c r="I90" s="33"/>
    </row>
    <row r="91" spans="1:9" ht="12.75">
      <c r="A91" s="40">
        <f>A90+1</f>
        <v>2005</v>
      </c>
      <c r="B91" s="33">
        <f>'T1'!E85</f>
        <v>1770</v>
      </c>
      <c r="C91" s="33">
        <f>'T1'!G85</f>
        <v>30</v>
      </c>
      <c r="D91" s="33">
        <f>MAX(0,'T1'!D85-'T1'!H85)</f>
        <v>910</v>
      </c>
      <c r="E91" s="313" t="s">
        <v>364</v>
      </c>
      <c r="F91" s="33">
        <f>SUM(B91:D91)</f>
        <v>2710</v>
      </c>
      <c r="G91" s="33">
        <f>'T1'!I85</f>
        <v>1660</v>
      </c>
      <c r="H91" s="33">
        <f>F91-G91</f>
        <v>1050</v>
      </c>
      <c r="I91" s="33"/>
    </row>
    <row r="92" spans="1:9" ht="12.75">
      <c r="A92" s="40">
        <f>A91+1</f>
        <v>2006</v>
      </c>
      <c r="I92" s="33"/>
    </row>
    <row r="93" spans="1:9" ht="12.75">
      <c r="A93" s="40">
        <f>A92+1</f>
        <v>2007</v>
      </c>
      <c r="I93" s="33"/>
    </row>
    <row r="94" spans="1:9" ht="12.75">
      <c r="A94" s="40" t="s">
        <v>37</v>
      </c>
      <c r="B94" s="33">
        <f>AVERAGE(B89:B93)</f>
        <v>993.3333333333334</v>
      </c>
      <c r="C94" s="33">
        <f>AVERAGE(C89:C93)</f>
        <v>16.666666666666668</v>
      </c>
      <c r="D94" s="33">
        <f>AVERAGE(D89:D93)</f>
        <v>510</v>
      </c>
      <c r="E94" s="33"/>
      <c r="F94" s="33">
        <f>AVERAGE(F89:F93)</f>
        <v>1520</v>
      </c>
      <c r="G94" s="33">
        <f>AVERAGE(G89:G93)</f>
        <v>770</v>
      </c>
      <c r="H94" s="33">
        <f>AVERAGE(H89:H93)</f>
        <v>750</v>
      </c>
      <c r="I94" s="33"/>
    </row>
    <row r="95" spans="1:9" ht="12.75">
      <c r="A95" s="40"/>
      <c r="I95" s="33"/>
    </row>
    <row r="96" spans="1:9" ht="12.75">
      <c r="A96" s="314" t="s">
        <v>23</v>
      </c>
      <c r="I96" s="33"/>
    </row>
    <row r="97" spans="1:9" ht="12.75">
      <c r="A97" s="40"/>
      <c r="I97" s="33"/>
    </row>
    <row r="98" spans="1:9" ht="12.75">
      <c r="A98" s="40">
        <v>2003</v>
      </c>
      <c r="B98" s="33">
        <f>'T1'!E42</f>
        <v>80</v>
      </c>
      <c r="C98" s="33">
        <f>'T1'!G42</f>
        <v>30</v>
      </c>
      <c r="D98" s="33">
        <f>MAX(0,'T1'!D42-'T1'!H42)</f>
        <v>0</v>
      </c>
      <c r="E98" s="313" t="s">
        <v>364</v>
      </c>
      <c r="F98" s="33">
        <f>SUM(B98:D98)</f>
        <v>110</v>
      </c>
      <c r="G98" s="33">
        <f>'T1'!I42</f>
        <v>-260</v>
      </c>
      <c r="H98" s="33">
        <f>F98-G98</f>
        <v>370</v>
      </c>
      <c r="I98" s="33"/>
    </row>
    <row r="99" spans="1:9" ht="12.75">
      <c r="A99" s="40">
        <f>A98+1</f>
        <v>2004</v>
      </c>
      <c r="B99" s="33">
        <f>'T1'!E64</f>
        <v>240</v>
      </c>
      <c r="C99" s="33">
        <f>'T1'!G64</f>
        <v>110</v>
      </c>
      <c r="D99" s="33">
        <f>MAX(0,'T1'!D64-'T1'!H64)</f>
        <v>0</v>
      </c>
      <c r="E99" s="313" t="s">
        <v>364</v>
      </c>
      <c r="F99" s="33">
        <f>SUM(B99:D99)</f>
        <v>350</v>
      </c>
      <c r="G99" s="33">
        <f>'T1'!I64</f>
        <v>90</v>
      </c>
      <c r="H99" s="33">
        <f>F99-G99</f>
        <v>260</v>
      </c>
      <c r="I99" s="33"/>
    </row>
    <row r="100" spans="1:9" ht="12.75">
      <c r="A100" s="40">
        <f>A99+1</f>
        <v>2005</v>
      </c>
      <c r="B100" s="33">
        <f>'T1'!E86</f>
        <v>-130</v>
      </c>
      <c r="C100" s="33">
        <f>'T1'!G86</f>
        <v>-50</v>
      </c>
      <c r="D100" s="33">
        <f>MAX(0,'T1'!D86-'T1'!H86)</f>
        <v>0</v>
      </c>
      <c r="E100" s="313" t="s">
        <v>364</v>
      </c>
      <c r="F100" s="33">
        <f>SUM(B100:D100)</f>
        <v>-180</v>
      </c>
      <c r="G100" s="33">
        <f>'T1'!I86</f>
        <v>-1180</v>
      </c>
      <c r="H100" s="33">
        <f>F100-G100</f>
        <v>1000</v>
      </c>
      <c r="I100" s="33"/>
    </row>
    <row r="101" spans="1:9" ht="12.75">
      <c r="A101" s="40">
        <f>A100+1</f>
        <v>2006</v>
      </c>
      <c r="I101" s="33"/>
    </row>
    <row r="102" spans="1:9" ht="12.75">
      <c r="A102" s="40">
        <f>A101+1</f>
        <v>2007</v>
      </c>
      <c r="I102" s="33"/>
    </row>
    <row r="103" spans="1:9" ht="12.75">
      <c r="A103" s="40" t="s">
        <v>37</v>
      </c>
      <c r="B103" s="33">
        <f>AVERAGE(B98:B102)</f>
        <v>63.333333333333336</v>
      </c>
      <c r="C103" s="33">
        <f>AVERAGE(C98:C102)</f>
        <v>30</v>
      </c>
      <c r="D103" s="33">
        <f>AVERAGE(D98:D102)</f>
        <v>0</v>
      </c>
      <c r="E103" s="33"/>
      <c r="F103" s="33">
        <f>AVERAGE(F98:F102)</f>
        <v>93.33333333333333</v>
      </c>
      <c r="G103" s="33">
        <f>AVERAGE(G98:G102)</f>
        <v>-450</v>
      </c>
      <c r="H103" s="33">
        <f>AVERAGE(H98:H102)</f>
        <v>543.3333333333334</v>
      </c>
      <c r="I103" s="33"/>
    </row>
    <row r="104" ht="12.75">
      <c r="I104" s="33"/>
    </row>
    <row r="105" spans="1:9" ht="12.75">
      <c r="A105" s="314" t="s">
        <v>24</v>
      </c>
      <c r="I105" s="33"/>
    </row>
    <row r="106" ht="12.75">
      <c r="I106" s="33"/>
    </row>
    <row r="107" spans="1:8" ht="12.75">
      <c r="A107" s="40">
        <v>2003</v>
      </c>
      <c r="B107" s="33">
        <f>'T1'!E43</f>
        <v>3510</v>
      </c>
      <c r="C107" s="33">
        <f>'T1'!G43</f>
        <v>3600</v>
      </c>
      <c r="D107" s="33">
        <f>MAX(0,'T1'!D43-'T1'!H43)</f>
        <v>0</v>
      </c>
      <c r="E107" s="313" t="s">
        <v>364</v>
      </c>
      <c r="F107" s="33">
        <f>SUM(B107:D107)</f>
        <v>7110</v>
      </c>
      <c r="G107" s="33">
        <f>'T1'!I43</f>
        <v>6600</v>
      </c>
      <c r="H107" s="33">
        <f>F107-G107</f>
        <v>510</v>
      </c>
    </row>
    <row r="108" spans="1:8" ht="12.75">
      <c r="A108" s="40">
        <f>A107+1</f>
        <v>2004</v>
      </c>
      <c r="B108" s="33">
        <f>'T1'!E65</f>
        <v>2170</v>
      </c>
      <c r="C108" s="33">
        <f>'T1'!G65</f>
        <v>2220</v>
      </c>
      <c r="D108" s="33">
        <f>MAX(0,'T1'!D65-'T1'!H65)</f>
        <v>0</v>
      </c>
      <c r="E108" s="313" t="s">
        <v>364</v>
      </c>
      <c r="F108" s="33">
        <f>SUM(B108:D108)</f>
        <v>4390</v>
      </c>
      <c r="G108" s="33">
        <f>'T1'!I65</f>
        <v>4600</v>
      </c>
      <c r="H108" s="33">
        <f>F108-G108</f>
        <v>-210</v>
      </c>
    </row>
    <row r="109" spans="1:8" ht="12.75">
      <c r="A109" s="40">
        <f>A108+1</f>
        <v>2005</v>
      </c>
      <c r="B109" s="33">
        <f>'T1'!E87</f>
        <v>5310</v>
      </c>
      <c r="C109" s="33">
        <f>'T1'!G87</f>
        <v>5430</v>
      </c>
      <c r="D109" s="33">
        <f>MAX(0,'T1'!D87-'T1'!H87)</f>
        <v>0</v>
      </c>
      <c r="E109" s="313" t="s">
        <v>364</v>
      </c>
      <c r="F109" s="33">
        <f>SUM(B109:D109)</f>
        <v>10740</v>
      </c>
      <c r="G109" s="33">
        <f>'T1'!I87</f>
        <v>8180</v>
      </c>
      <c r="H109" s="33">
        <f>F109-G109</f>
        <v>2560</v>
      </c>
    </row>
    <row r="110" ht="12.75">
      <c r="A110" s="40">
        <f>A109+1</f>
        <v>2006</v>
      </c>
    </row>
    <row r="111" ht="12.75">
      <c r="A111" s="40">
        <f>A110+1</f>
        <v>2007</v>
      </c>
    </row>
    <row r="112" spans="1:8" ht="12.75">
      <c r="A112" s="40" t="s">
        <v>37</v>
      </c>
      <c r="B112" s="33">
        <f>AVERAGE(B107:B111)</f>
        <v>3663.3333333333335</v>
      </c>
      <c r="C112" s="33">
        <f>AVERAGE(C107:C111)</f>
        <v>3750</v>
      </c>
      <c r="D112" s="33">
        <f>AVERAGE(D107:D111)</f>
        <v>0</v>
      </c>
      <c r="E112" s="33"/>
      <c r="F112" s="33">
        <f>AVERAGE(F107:F111)</f>
        <v>7413.333333333333</v>
      </c>
      <c r="G112" s="33">
        <f>AVERAGE(G107:G111)</f>
        <v>6460</v>
      </c>
      <c r="H112" s="33">
        <f>AVERAGE(H107:H111)</f>
        <v>953.3333333333334</v>
      </c>
    </row>
  </sheetData>
  <mergeCells count="2">
    <mergeCell ref="A1:G1"/>
    <mergeCell ref="A8:G8"/>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I275"/>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20.421875" style="0" customWidth="1"/>
    <col min="2" max="2" width="82.421875" style="0" customWidth="1"/>
    <col min="3" max="3" width="15.421875" style="17" customWidth="1"/>
  </cols>
  <sheetData>
    <row r="1" spans="1:8" ht="12.75">
      <c r="A1" s="5" t="s">
        <v>93</v>
      </c>
      <c r="B1" s="5"/>
      <c r="C1" s="270">
        <v>2005</v>
      </c>
      <c r="D1">
        <v>2003</v>
      </c>
      <c r="E1">
        <v>2004</v>
      </c>
      <c r="F1" s="309">
        <v>2005</v>
      </c>
      <c r="G1" s="309">
        <v>2006</v>
      </c>
      <c r="H1" s="309">
        <v>2007</v>
      </c>
    </row>
    <row r="3" spans="1:2" ht="12.75">
      <c r="A3" s="5" t="s">
        <v>94</v>
      </c>
      <c r="B3" s="14"/>
    </row>
    <row r="4" spans="1:6" ht="12.75">
      <c r="A4" s="53" t="s">
        <v>80</v>
      </c>
      <c r="B4" s="54" t="s">
        <v>210</v>
      </c>
      <c r="C4" s="202">
        <f>GM_output!B9</f>
        <v>14359</v>
      </c>
      <c r="D4">
        <v>14023</v>
      </c>
      <c r="E4">
        <v>14373</v>
      </c>
      <c r="F4" s="33">
        <f>C4</f>
        <v>14359</v>
      </c>
    </row>
    <row r="5" spans="1:6" ht="12.75">
      <c r="A5" s="53" t="s">
        <v>81</v>
      </c>
      <c r="B5" s="54" t="s">
        <v>211</v>
      </c>
      <c r="C5" s="202">
        <f>GM_output!C9</f>
        <v>17</v>
      </c>
      <c r="D5">
        <v>17</v>
      </c>
      <c r="E5">
        <v>16</v>
      </c>
      <c r="F5" s="33">
        <f aca="true" t="shared" si="0" ref="F5:F68">C5</f>
        <v>17</v>
      </c>
    </row>
    <row r="6" spans="1:6" ht="12.75">
      <c r="A6" s="53"/>
      <c r="B6" s="54" t="s">
        <v>214</v>
      </c>
      <c r="C6" s="202">
        <f>GM_output!D9</f>
        <v>1443</v>
      </c>
      <c r="D6">
        <v>1402</v>
      </c>
      <c r="E6">
        <v>1446</v>
      </c>
      <c r="F6" s="33">
        <f t="shared" si="0"/>
        <v>1443</v>
      </c>
    </row>
    <row r="7" spans="1:6" ht="12.75">
      <c r="A7" t="s">
        <v>82</v>
      </c>
      <c r="B7" s="2" t="s">
        <v>210</v>
      </c>
      <c r="C7" s="203">
        <f>GM_output!B4</f>
        <v>811</v>
      </c>
      <c r="D7">
        <v>242</v>
      </c>
      <c r="E7">
        <v>353</v>
      </c>
      <c r="F7" s="33">
        <f t="shared" si="0"/>
        <v>811</v>
      </c>
    </row>
    <row r="8" spans="1:6" ht="12.75">
      <c r="B8" s="2" t="s">
        <v>211</v>
      </c>
      <c r="C8" s="203">
        <f>GM_output!C4</f>
        <v>122</v>
      </c>
      <c r="D8">
        <v>100</v>
      </c>
      <c r="E8">
        <v>116</v>
      </c>
      <c r="F8" s="33">
        <f t="shared" si="0"/>
        <v>122</v>
      </c>
    </row>
    <row r="9" spans="2:6" ht="12.75">
      <c r="B9" s="2" t="s">
        <v>214</v>
      </c>
      <c r="C9" s="203">
        <f>GM_output!D4</f>
        <v>250</v>
      </c>
      <c r="D9">
        <v>508</v>
      </c>
      <c r="E9">
        <v>431</v>
      </c>
      <c r="F9" s="33">
        <f t="shared" si="0"/>
        <v>250</v>
      </c>
    </row>
    <row r="10" spans="1:6" ht="12.75">
      <c r="A10" s="53" t="s">
        <v>83</v>
      </c>
      <c r="B10" s="54" t="s">
        <v>210</v>
      </c>
      <c r="C10" s="202">
        <f>GM_output!B6</f>
        <v>306</v>
      </c>
      <c r="D10">
        <v>265</v>
      </c>
      <c r="E10">
        <v>290</v>
      </c>
      <c r="F10" s="33">
        <f t="shared" si="0"/>
        <v>306</v>
      </c>
    </row>
    <row r="11" spans="1:6" ht="12.75">
      <c r="A11" s="53" t="s">
        <v>81</v>
      </c>
      <c r="B11" s="54" t="s">
        <v>211</v>
      </c>
      <c r="C11" s="202">
        <f>GM_output!C6</f>
        <v>0</v>
      </c>
      <c r="D11">
        <v>0</v>
      </c>
      <c r="E11">
        <v>0</v>
      </c>
      <c r="F11" s="33">
        <f t="shared" si="0"/>
        <v>0</v>
      </c>
    </row>
    <row r="12" spans="1:6" ht="12.75">
      <c r="A12" s="53"/>
      <c r="B12" s="54" t="s">
        <v>214</v>
      </c>
      <c r="C12" s="202">
        <f>GM_output!D6</f>
        <v>3357</v>
      </c>
      <c r="D12">
        <v>3338</v>
      </c>
      <c r="E12">
        <v>3333</v>
      </c>
      <c r="F12" s="33">
        <f t="shared" si="0"/>
        <v>3357</v>
      </c>
    </row>
    <row r="13" spans="1:6" ht="12.75">
      <c r="A13" s="17" t="s">
        <v>84</v>
      </c>
      <c r="B13" s="9" t="s">
        <v>210</v>
      </c>
      <c r="C13" s="203">
        <f>GM_output!B17</f>
        <v>61</v>
      </c>
      <c r="D13">
        <v>59</v>
      </c>
      <c r="E13">
        <v>58</v>
      </c>
      <c r="F13" s="33">
        <f t="shared" si="0"/>
        <v>61</v>
      </c>
    </row>
    <row r="14" spans="1:6" ht="12.75">
      <c r="A14" s="17" t="s">
        <v>81</v>
      </c>
      <c r="B14" s="9" t="s">
        <v>211</v>
      </c>
      <c r="C14" s="203">
        <f>GM_output!C17</f>
        <v>0</v>
      </c>
      <c r="D14">
        <v>0</v>
      </c>
      <c r="E14">
        <v>0</v>
      </c>
      <c r="F14" s="33">
        <f t="shared" si="0"/>
        <v>0</v>
      </c>
    </row>
    <row r="15" spans="1:6" ht="12.75">
      <c r="A15" s="17"/>
      <c r="B15" s="9" t="s">
        <v>214</v>
      </c>
      <c r="C15" s="203">
        <f>GM_output!D17</f>
        <v>3744</v>
      </c>
      <c r="D15">
        <v>3419</v>
      </c>
      <c r="E15">
        <v>3581</v>
      </c>
      <c r="F15" s="33">
        <f t="shared" si="0"/>
        <v>3744</v>
      </c>
    </row>
    <row r="16" spans="1:6" ht="12.75">
      <c r="A16" s="53" t="s">
        <v>229</v>
      </c>
      <c r="B16" s="54" t="s">
        <v>210</v>
      </c>
      <c r="C16" s="202">
        <f>GM_output!B19+GM_output!B21</f>
        <v>14952</v>
      </c>
      <c r="D16">
        <v>12115</v>
      </c>
      <c r="E16">
        <v>12874</v>
      </c>
      <c r="F16" s="33">
        <f t="shared" si="0"/>
        <v>14952</v>
      </c>
    </row>
    <row r="17" spans="1:6" ht="12.75">
      <c r="A17" s="53" t="s">
        <v>81</v>
      </c>
      <c r="B17" s="54" t="s">
        <v>211</v>
      </c>
      <c r="C17" s="202">
        <f>GM_output!C19+GM_output!C21</f>
        <v>7227</v>
      </c>
      <c r="D17">
        <v>5351</v>
      </c>
      <c r="E17">
        <v>5781</v>
      </c>
      <c r="F17" s="33">
        <f t="shared" si="0"/>
        <v>7227</v>
      </c>
    </row>
    <row r="18" spans="1:6" ht="12.75">
      <c r="A18" s="53"/>
      <c r="B18" s="54" t="s">
        <v>214</v>
      </c>
      <c r="C18" s="202">
        <f>GM_output!D19+GM_output!D21</f>
        <v>1372</v>
      </c>
      <c r="D18">
        <v>1347</v>
      </c>
      <c r="E18">
        <v>1202</v>
      </c>
      <c r="F18" s="33">
        <f t="shared" si="0"/>
        <v>1372</v>
      </c>
    </row>
    <row r="19" spans="1:6" ht="12.75">
      <c r="A19" t="s">
        <v>85</v>
      </c>
      <c r="B19" s="2" t="s">
        <v>210</v>
      </c>
      <c r="C19" s="203">
        <f>GM_output!B8+GM_output!B23</f>
        <v>42</v>
      </c>
      <c r="D19">
        <v>37</v>
      </c>
      <c r="E19">
        <v>39</v>
      </c>
      <c r="F19" s="33">
        <f t="shared" si="0"/>
        <v>42</v>
      </c>
    </row>
    <row r="20" spans="1:6" ht="12.75">
      <c r="B20" s="2" t="s">
        <v>211</v>
      </c>
      <c r="C20" s="203">
        <f>GM_output!C8+GM_output!C23</f>
        <v>0</v>
      </c>
      <c r="D20">
        <v>0</v>
      </c>
      <c r="E20">
        <v>0</v>
      </c>
      <c r="F20" s="33">
        <f t="shared" si="0"/>
        <v>0</v>
      </c>
    </row>
    <row r="21" spans="2:6" ht="12.75">
      <c r="B21" s="2" t="s">
        <v>214</v>
      </c>
      <c r="C21" s="203">
        <f>GM_output!D8+GM_output!D23</f>
        <v>82719</v>
      </c>
      <c r="D21">
        <v>85647</v>
      </c>
      <c r="E21">
        <v>89727</v>
      </c>
      <c r="F21" s="33">
        <f t="shared" si="0"/>
        <v>82719</v>
      </c>
    </row>
    <row r="22" spans="1:6" ht="12.75">
      <c r="A22" s="53" t="s">
        <v>86</v>
      </c>
      <c r="B22" s="54" t="s">
        <v>210</v>
      </c>
      <c r="C22" s="202">
        <f>GM_output!B7</f>
        <v>0</v>
      </c>
      <c r="D22">
        <v>0</v>
      </c>
      <c r="E22">
        <v>0</v>
      </c>
      <c r="F22" s="33">
        <f t="shared" si="0"/>
        <v>0</v>
      </c>
    </row>
    <row r="23" spans="1:6" ht="12.75">
      <c r="A23" s="53" t="s">
        <v>81</v>
      </c>
      <c r="B23" s="54" t="s">
        <v>211</v>
      </c>
      <c r="C23" s="202">
        <f>GM_output!C7</f>
        <v>0</v>
      </c>
      <c r="D23">
        <v>0</v>
      </c>
      <c r="E23">
        <v>0</v>
      </c>
      <c r="F23" s="33">
        <f t="shared" si="0"/>
        <v>0</v>
      </c>
    </row>
    <row r="24" spans="1:6" ht="12.75">
      <c r="A24" s="53"/>
      <c r="B24" s="54" t="s">
        <v>214</v>
      </c>
      <c r="C24" s="202">
        <f>GM_output!D7</f>
        <v>1481</v>
      </c>
      <c r="D24">
        <v>1391</v>
      </c>
      <c r="E24">
        <v>1479</v>
      </c>
      <c r="F24" s="33">
        <f t="shared" si="0"/>
        <v>1481</v>
      </c>
    </row>
    <row r="25" spans="1:6" ht="12.75">
      <c r="A25" t="s">
        <v>87</v>
      </c>
      <c r="B25" s="2" t="s">
        <v>210</v>
      </c>
      <c r="C25" s="203">
        <f>GM_output!B16+GM_output!B20</f>
        <v>0</v>
      </c>
      <c r="D25">
        <v>0</v>
      </c>
      <c r="E25">
        <v>0</v>
      </c>
      <c r="F25" s="33">
        <f t="shared" si="0"/>
        <v>0</v>
      </c>
    </row>
    <row r="26" spans="1:6" ht="12.75">
      <c r="B26" s="2" t="s">
        <v>211</v>
      </c>
      <c r="C26" s="203">
        <f>GM_output!C16+GM_output!C20</f>
        <v>0</v>
      </c>
      <c r="D26">
        <v>0</v>
      </c>
      <c r="E26">
        <v>0</v>
      </c>
      <c r="F26" s="33">
        <f t="shared" si="0"/>
        <v>0</v>
      </c>
    </row>
    <row r="27" spans="2:6" ht="12.75">
      <c r="B27" s="2" t="s">
        <v>214</v>
      </c>
      <c r="C27" s="203">
        <f>GM_output!D16+GM_output!D20</f>
        <v>8305</v>
      </c>
      <c r="D27">
        <v>7815</v>
      </c>
      <c r="E27">
        <v>8221</v>
      </c>
      <c r="F27" s="33">
        <f t="shared" si="0"/>
        <v>8305</v>
      </c>
    </row>
    <row r="28" spans="1:6" ht="12.75">
      <c r="A28" s="53" t="s">
        <v>88</v>
      </c>
      <c r="B28" s="54" t="s">
        <v>210</v>
      </c>
      <c r="C28" s="202">
        <f>GM_output!B14+GM_output!B25</f>
        <v>0</v>
      </c>
      <c r="D28">
        <v>0</v>
      </c>
      <c r="E28">
        <v>0</v>
      </c>
      <c r="F28" s="33">
        <f t="shared" si="0"/>
        <v>0</v>
      </c>
    </row>
    <row r="29" spans="1:6" ht="12.75">
      <c r="A29" s="53" t="s">
        <v>81</v>
      </c>
      <c r="B29" s="54" t="s">
        <v>211</v>
      </c>
      <c r="C29" s="202">
        <f>GM_output!C14+GM_output!C25</f>
        <v>0</v>
      </c>
      <c r="D29">
        <v>0</v>
      </c>
      <c r="E29">
        <v>0</v>
      </c>
      <c r="F29" s="33">
        <f t="shared" si="0"/>
        <v>0</v>
      </c>
    </row>
    <row r="30" spans="1:6" ht="12.75">
      <c r="A30" s="53"/>
      <c r="B30" s="54" t="s">
        <v>214</v>
      </c>
      <c r="C30" s="202">
        <f>GM_output!D14+GM_output!D25</f>
        <v>20766</v>
      </c>
      <c r="D30">
        <v>21139</v>
      </c>
      <c r="E30">
        <v>21296</v>
      </c>
      <c r="F30" s="33">
        <f t="shared" si="0"/>
        <v>20766</v>
      </c>
    </row>
    <row r="31" spans="1:6" ht="12.75">
      <c r="A31" t="s">
        <v>89</v>
      </c>
      <c r="B31" s="2" t="s">
        <v>210</v>
      </c>
      <c r="C31" s="203">
        <f>GM_output!B5</f>
        <v>0</v>
      </c>
      <c r="D31">
        <v>0</v>
      </c>
      <c r="E31">
        <v>0</v>
      </c>
      <c r="F31" s="33">
        <f t="shared" si="0"/>
        <v>0</v>
      </c>
    </row>
    <row r="32" spans="1:6" ht="12.75">
      <c r="B32" s="2" t="s">
        <v>211</v>
      </c>
      <c r="C32" s="203">
        <f>GM_output!C5</f>
        <v>1519</v>
      </c>
      <c r="D32">
        <v>274</v>
      </c>
      <c r="E32">
        <v>205</v>
      </c>
      <c r="F32" s="33">
        <f t="shared" si="0"/>
        <v>1519</v>
      </c>
    </row>
    <row r="33" spans="2:6" ht="12.75">
      <c r="B33" s="2" t="s">
        <v>214</v>
      </c>
      <c r="C33" s="203">
        <f>GM_output!D5</f>
        <v>2684</v>
      </c>
      <c r="D33">
        <v>777</v>
      </c>
      <c r="E33">
        <v>1278</v>
      </c>
      <c r="F33" s="33">
        <f t="shared" si="0"/>
        <v>2684</v>
      </c>
    </row>
    <row r="34" spans="1:6" ht="12.75">
      <c r="A34" s="53" t="s">
        <v>90</v>
      </c>
      <c r="B34" s="54" t="s">
        <v>210</v>
      </c>
      <c r="C34" s="202">
        <f>GM_output!B18</f>
        <v>0</v>
      </c>
      <c r="D34">
        <v>0</v>
      </c>
      <c r="E34">
        <v>0</v>
      </c>
      <c r="F34" s="33">
        <f t="shared" si="0"/>
        <v>0</v>
      </c>
    </row>
    <row r="35" spans="1:6" ht="12.75">
      <c r="A35" s="53" t="s">
        <v>81</v>
      </c>
      <c r="B35" s="54" t="s">
        <v>211</v>
      </c>
      <c r="C35" s="202">
        <f>GM_output!C18</f>
        <v>-1462</v>
      </c>
      <c r="D35">
        <v>-274</v>
      </c>
      <c r="E35">
        <v>-205</v>
      </c>
      <c r="F35" s="33">
        <f t="shared" si="0"/>
        <v>-1462</v>
      </c>
    </row>
    <row r="36" spans="1:6" ht="12.75">
      <c r="A36" s="53"/>
      <c r="B36" s="54" t="s">
        <v>214</v>
      </c>
      <c r="C36" s="202">
        <f>GM_output!D18</f>
        <v>702</v>
      </c>
      <c r="D36">
        <v>500</v>
      </c>
      <c r="E36">
        <v>556</v>
      </c>
      <c r="F36" s="33">
        <f t="shared" si="0"/>
        <v>702</v>
      </c>
    </row>
    <row r="37" spans="1:6" ht="12.75">
      <c r="A37" t="s">
        <v>91</v>
      </c>
      <c r="B37" s="2" t="s">
        <v>210</v>
      </c>
      <c r="C37" s="203">
        <f>GM_output!B15+GM_output!B22</f>
        <v>0</v>
      </c>
      <c r="D37">
        <v>0</v>
      </c>
      <c r="E37">
        <v>0</v>
      </c>
      <c r="F37" s="33">
        <f t="shared" si="0"/>
        <v>0</v>
      </c>
    </row>
    <row r="38" spans="1:6" ht="12.75">
      <c r="B38" s="2" t="s">
        <v>211</v>
      </c>
      <c r="C38" s="203">
        <f>GM_output!C15+GM_output!C22</f>
        <v>5775</v>
      </c>
      <c r="D38">
        <v>1679</v>
      </c>
      <c r="E38">
        <v>1824</v>
      </c>
      <c r="F38" s="33">
        <f t="shared" si="0"/>
        <v>5775</v>
      </c>
    </row>
    <row r="39" spans="2:6" ht="12.75">
      <c r="B39" s="2" t="s">
        <v>214</v>
      </c>
      <c r="C39" s="203">
        <f>GM_output!D15+GM_output!D22</f>
        <v>0</v>
      </c>
      <c r="D39">
        <v>0</v>
      </c>
      <c r="E39">
        <v>0</v>
      </c>
      <c r="F39" s="33">
        <f t="shared" si="0"/>
        <v>0</v>
      </c>
    </row>
    <row r="40" spans="1:6" ht="12.75">
      <c r="A40" s="53" t="s">
        <v>92</v>
      </c>
      <c r="B40" s="54" t="s">
        <v>210</v>
      </c>
      <c r="C40" s="202">
        <f>GM_output!B29</f>
        <v>-1954</v>
      </c>
      <c r="D40">
        <v>132</v>
      </c>
      <c r="E40">
        <v>-1269</v>
      </c>
      <c r="F40" s="33">
        <f t="shared" si="0"/>
        <v>-1954</v>
      </c>
    </row>
    <row r="41" spans="1:6" ht="12.75">
      <c r="A41" s="63" t="s">
        <v>81</v>
      </c>
      <c r="B41" s="64" t="s">
        <v>211</v>
      </c>
      <c r="C41" s="202">
        <f>GM_output!C29</f>
        <v>271</v>
      </c>
      <c r="D41">
        <v>110</v>
      </c>
      <c r="E41">
        <v>399</v>
      </c>
      <c r="F41" s="33">
        <f t="shared" si="0"/>
        <v>271</v>
      </c>
    </row>
    <row r="42" spans="1:6" ht="12.75">
      <c r="A42" s="63"/>
      <c r="B42" s="64" t="s">
        <v>212</v>
      </c>
      <c r="C42" s="202">
        <f>GM_output!D30</f>
        <v>81100</v>
      </c>
      <c r="D42">
        <v>74323</v>
      </c>
      <c r="E42">
        <v>78183</v>
      </c>
      <c r="F42" s="33">
        <f t="shared" si="0"/>
        <v>81100</v>
      </c>
    </row>
    <row r="43" spans="1:6" ht="12.75">
      <c r="A43" s="63"/>
      <c r="B43" s="64" t="s">
        <v>213</v>
      </c>
      <c r="C43" s="202">
        <f>GM_output!D13</f>
        <v>2956</v>
      </c>
      <c r="D43">
        <v>2559</v>
      </c>
      <c r="E43">
        <v>2382</v>
      </c>
      <c r="F43" s="33">
        <f t="shared" si="0"/>
        <v>2956</v>
      </c>
    </row>
    <row r="44" spans="3:6" ht="12.75">
      <c r="C44" s="204"/>
      <c r="F44" s="33"/>
    </row>
    <row r="45" spans="1:6" ht="12.75">
      <c r="A45" s="5" t="s">
        <v>95</v>
      </c>
      <c r="B45" s="14"/>
      <c r="C45" s="204"/>
      <c r="F45" s="33"/>
    </row>
    <row r="46" spans="1:6" ht="12.75">
      <c r="A46" s="53" t="s">
        <v>80</v>
      </c>
      <c r="B46" s="54" t="s">
        <v>176</v>
      </c>
      <c r="C46" s="202">
        <f>GM_output!E9</f>
        <v>0</v>
      </c>
      <c r="D46">
        <v>0</v>
      </c>
      <c r="E46">
        <v>0</v>
      </c>
      <c r="F46" s="33">
        <f t="shared" si="0"/>
        <v>0</v>
      </c>
    </row>
    <row r="47" spans="1:6" ht="12.75">
      <c r="A47" t="s">
        <v>82</v>
      </c>
      <c r="B47" s="2" t="s">
        <v>176</v>
      </c>
      <c r="C47" s="203">
        <f>GM_output!E4</f>
        <v>0</v>
      </c>
      <c r="D47">
        <v>0</v>
      </c>
      <c r="E47">
        <v>0</v>
      </c>
      <c r="F47" s="33">
        <f t="shared" si="0"/>
        <v>0</v>
      </c>
    </row>
    <row r="48" spans="1:6" ht="12.75">
      <c r="A48" s="53" t="s">
        <v>83</v>
      </c>
      <c r="B48" s="54" t="s">
        <v>176</v>
      </c>
      <c r="C48" s="202">
        <f>GM_output!E6</f>
        <v>0</v>
      </c>
      <c r="D48">
        <v>0</v>
      </c>
      <c r="E48">
        <v>0</v>
      </c>
      <c r="F48" s="33">
        <f t="shared" si="0"/>
        <v>0</v>
      </c>
    </row>
    <row r="49" spans="1:6" ht="12.75">
      <c r="A49" t="s">
        <v>84</v>
      </c>
      <c r="B49" s="2" t="s">
        <v>176</v>
      </c>
      <c r="C49" s="203">
        <f>GM_output!E17</f>
        <v>0</v>
      </c>
      <c r="D49">
        <v>0</v>
      </c>
      <c r="E49">
        <v>0</v>
      </c>
      <c r="F49" s="33">
        <f t="shared" si="0"/>
        <v>0</v>
      </c>
    </row>
    <row r="50" spans="1:6" ht="12.75">
      <c r="A50" s="53" t="s">
        <v>229</v>
      </c>
      <c r="B50" s="54" t="s">
        <v>176</v>
      </c>
      <c r="C50" s="202">
        <f>GM_output!E19+GM_output!E21</f>
        <v>0</v>
      </c>
      <c r="D50">
        <v>0</v>
      </c>
      <c r="E50">
        <v>0</v>
      </c>
      <c r="F50" s="33">
        <f t="shared" si="0"/>
        <v>0</v>
      </c>
    </row>
    <row r="51" spans="1:6" ht="12.75">
      <c r="A51" t="s">
        <v>85</v>
      </c>
      <c r="B51" s="2" t="s">
        <v>176</v>
      </c>
      <c r="C51" s="203">
        <f>GM_output!E8+GM_output!E23</f>
        <v>0</v>
      </c>
      <c r="D51">
        <v>0</v>
      </c>
      <c r="E51">
        <v>0</v>
      </c>
      <c r="F51" s="33">
        <f t="shared" si="0"/>
        <v>0</v>
      </c>
    </row>
    <row r="52" spans="1:6" ht="12.75">
      <c r="A52" s="53" t="s">
        <v>86</v>
      </c>
      <c r="B52" s="54" t="s">
        <v>176</v>
      </c>
      <c r="C52" s="202">
        <f>GM_output!E7</f>
        <v>0</v>
      </c>
      <c r="D52">
        <v>0</v>
      </c>
      <c r="E52">
        <v>0</v>
      </c>
      <c r="F52" s="33">
        <f t="shared" si="0"/>
        <v>0</v>
      </c>
    </row>
    <row r="53" spans="1:6" ht="12.75">
      <c r="A53" t="s">
        <v>87</v>
      </c>
      <c r="B53" s="2" t="s">
        <v>176</v>
      </c>
      <c r="C53" s="203">
        <f>GM_output!E16+GM_output!E20</f>
        <v>35</v>
      </c>
      <c r="D53">
        <v>20</v>
      </c>
      <c r="E53">
        <v>25</v>
      </c>
      <c r="F53" s="33">
        <f t="shared" si="0"/>
        <v>35</v>
      </c>
    </row>
    <row r="54" spans="1:6" ht="12.75">
      <c r="A54" s="53" t="s">
        <v>88</v>
      </c>
      <c r="B54" s="54" t="s">
        <v>176</v>
      </c>
      <c r="C54" s="202">
        <f>GM_output!E14+GM_output!E25</f>
        <v>9633</v>
      </c>
      <c r="D54">
        <v>9423</v>
      </c>
      <c r="E54">
        <v>9522</v>
      </c>
      <c r="F54" s="33">
        <f t="shared" si="0"/>
        <v>9633</v>
      </c>
    </row>
    <row r="55" spans="1:6" ht="12.75">
      <c r="A55" t="s">
        <v>89</v>
      </c>
      <c r="B55" s="2" t="s">
        <v>176</v>
      </c>
      <c r="C55" s="203">
        <f>GM_output!E5</f>
        <v>0</v>
      </c>
      <c r="D55">
        <v>0</v>
      </c>
      <c r="E55">
        <v>0</v>
      </c>
      <c r="F55" s="33">
        <f t="shared" si="0"/>
        <v>0</v>
      </c>
    </row>
    <row r="56" spans="1:6" ht="12.75">
      <c r="A56" s="53" t="s">
        <v>90</v>
      </c>
      <c r="B56" s="54" t="s">
        <v>176</v>
      </c>
      <c r="C56" s="202">
        <f>GM_output!E18</f>
        <v>0</v>
      </c>
      <c r="D56">
        <v>0</v>
      </c>
      <c r="E56">
        <v>0</v>
      </c>
      <c r="F56" s="33">
        <f t="shared" si="0"/>
        <v>0</v>
      </c>
    </row>
    <row r="57" spans="1:6" ht="12.75">
      <c r="A57" t="s">
        <v>91</v>
      </c>
      <c r="B57" s="16" t="s">
        <v>176</v>
      </c>
      <c r="C57" s="203">
        <f>GM_output!E15+GM_output!E22</f>
        <v>0</v>
      </c>
      <c r="D57">
        <v>0</v>
      </c>
      <c r="E57">
        <v>0</v>
      </c>
      <c r="F57" s="33">
        <f t="shared" si="0"/>
        <v>0</v>
      </c>
    </row>
    <row r="58" spans="1:6" ht="12.75">
      <c r="A58" s="53" t="s">
        <v>92</v>
      </c>
      <c r="B58" s="54" t="s">
        <v>275</v>
      </c>
      <c r="C58" s="202">
        <f>GM_output!E30</f>
        <v>2297</v>
      </c>
      <c r="D58">
        <v>337</v>
      </c>
      <c r="E58">
        <v>834</v>
      </c>
      <c r="F58" s="33">
        <f t="shared" si="0"/>
        <v>2297</v>
      </c>
    </row>
    <row r="59" spans="1:6" ht="12.75">
      <c r="A59" s="53"/>
      <c r="B59" s="54" t="s">
        <v>276</v>
      </c>
      <c r="C59" s="202">
        <f>GM_output!E13</f>
        <v>0</v>
      </c>
      <c r="D59">
        <v>0</v>
      </c>
      <c r="E59">
        <v>0</v>
      </c>
      <c r="F59" s="33">
        <f t="shared" si="0"/>
        <v>0</v>
      </c>
    </row>
    <row r="60" spans="2:6" ht="12.75">
      <c r="B60" s="9" t="s">
        <v>4</v>
      </c>
      <c r="C60" s="203">
        <f>SUM(C46:C59)</f>
        <v>11965</v>
      </c>
      <c r="D60">
        <v>9780</v>
      </c>
      <c r="E60">
        <v>10381</v>
      </c>
      <c r="F60" s="33">
        <f t="shared" si="0"/>
        <v>11965</v>
      </c>
    </row>
    <row r="61" spans="1:6" ht="12.75">
      <c r="A61" s="5" t="s">
        <v>96</v>
      </c>
      <c r="B61" s="14" t="s">
        <v>81</v>
      </c>
      <c r="F61" s="33"/>
    </row>
    <row r="62" spans="1:6" ht="12.75">
      <c r="A62" s="53" t="s">
        <v>80</v>
      </c>
      <c r="B62" s="103" t="s">
        <v>442</v>
      </c>
      <c r="C62" s="99">
        <v>2790</v>
      </c>
      <c r="D62">
        <v>2410</v>
      </c>
      <c r="E62">
        <v>2888.7</v>
      </c>
      <c r="F62" s="33">
        <f t="shared" si="0"/>
        <v>2790</v>
      </c>
    </row>
    <row r="63" spans="1:6" ht="12.75">
      <c r="A63" s="53"/>
      <c r="B63" s="103" t="s">
        <v>230</v>
      </c>
      <c r="C63" s="99">
        <v>0</v>
      </c>
      <c r="D63">
        <v>0</v>
      </c>
      <c r="E63">
        <v>0</v>
      </c>
      <c r="F63" s="33">
        <f t="shared" si="0"/>
        <v>0</v>
      </c>
    </row>
    <row r="64" spans="1:6" ht="12.75">
      <c r="A64" s="53"/>
      <c r="B64" s="103" t="s">
        <v>189</v>
      </c>
      <c r="C64" s="99">
        <v>0</v>
      </c>
      <c r="D64">
        <v>0</v>
      </c>
      <c r="E64">
        <v>0</v>
      </c>
      <c r="F64" s="33">
        <f t="shared" si="0"/>
        <v>0</v>
      </c>
    </row>
    <row r="65" spans="1:6" ht="12.75">
      <c r="A65" t="s">
        <v>82</v>
      </c>
      <c r="B65" s="104" t="s">
        <v>442</v>
      </c>
      <c r="C65" s="100">
        <v>0</v>
      </c>
      <c r="D65">
        <v>0</v>
      </c>
      <c r="E65">
        <v>0</v>
      </c>
      <c r="F65" s="33">
        <f t="shared" si="0"/>
        <v>0</v>
      </c>
    </row>
    <row r="66" spans="2:6" ht="12.75">
      <c r="B66" s="104" t="s">
        <v>230</v>
      </c>
      <c r="C66" s="100">
        <v>0</v>
      </c>
      <c r="D66">
        <v>0</v>
      </c>
      <c r="E66">
        <v>0</v>
      </c>
      <c r="F66" s="33">
        <f t="shared" si="0"/>
        <v>0</v>
      </c>
    </row>
    <row r="67" spans="1:6" ht="12.75">
      <c r="B67" s="104" t="s">
        <v>189</v>
      </c>
      <c r="C67" s="100">
        <v>0</v>
      </c>
      <c r="D67">
        <v>0</v>
      </c>
      <c r="E67">
        <v>0</v>
      </c>
      <c r="F67" s="33">
        <f t="shared" si="0"/>
        <v>0</v>
      </c>
    </row>
    <row r="68" spans="1:6" ht="12.75">
      <c r="B68" s="104" t="s">
        <v>232</v>
      </c>
      <c r="C68" s="100">
        <v>0</v>
      </c>
      <c r="D68">
        <v>0</v>
      </c>
      <c r="E68">
        <v>0</v>
      </c>
      <c r="F68" s="33">
        <f t="shared" si="0"/>
        <v>0</v>
      </c>
    </row>
    <row r="69" spans="2:6" ht="12.75">
      <c r="B69" s="104" t="s">
        <v>233</v>
      </c>
      <c r="C69" s="100">
        <v>0</v>
      </c>
      <c r="D69">
        <v>0</v>
      </c>
      <c r="E69">
        <v>0</v>
      </c>
      <c r="F69" s="33">
        <f aca="true" t="shared" si="1" ref="F69:F132">C69</f>
        <v>0</v>
      </c>
    </row>
    <row r="70" spans="1:6" ht="12.75">
      <c r="B70" s="104" t="s">
        <v>191</v>
      </c>
      <c r="C70" s="100">
        <v>0</v>
      </c>
      <c r="D70">
        <v>0</v>
      </c>
      <c r="E70">
        <v>0</v>
      </c>
      <c r="F70" s="33">
        <f t="shared" si="1"/>
        <v>0</v>
      </c>
    </row>
    <row r="71" spans="2:6" ht="12.75">
      <c r="B71" s="104" t="s">
        <v>231</v>
      </c>
      <c r="C71" s="100">
        <v>0</v>
      </c>
      <c r="D71">
        <v>0</v>
      </c>
      <c r="E71">
        <v>0</v>
      </c>
      <c r="F71" s="33">
        <f t="shared" si="1"/>
        <v>0</v>
      </c>
    </row>
    <row r="72" spans="1:6" ht="12.75">
      <c r="B72" s="104" t="s">
        <v>443</v>
      </c>
      <c r="C72" s="100">
        <v>0</v>
      </c>
      <c r="D72">
        <v>0</v>
      </c>
      <c r="E72">
        <v>0</v>
      </c>
      <c r="F72" s="33">
        <f t="shared" si="1"/>
        <v>0</v>
      </c>
    </row>
    <row r="73" spans="1:6" ht="12.75">
      <c r="B73" s="104" t="s">
        <v>190</v>
      </c>
      <c r="C73" s="100">
        <v>0</v>
      </c>
      <c r="D73">
        <v>0</v>
      </c>
      <c r="E73">
        <v>0</v>
      </c>
      <c r="F73" s="33">
        <f t="shared" si="1"/>
        <v>0</v>
      </c>
    </row>
    <row r="74" spans="1:6" ht="12.75">
      <c r="A74" s="53" t="s">
        <v>83</v>
      </c>
      <c r="B74" s="103" t="s">
        <v>442</v>
      </c>
      <c r="C74" s="99">
        <v>0</v>
      </c>
      <c r="D74">
        <v>0</v>
      </c>
      <c r="E74">
        <v>0</v>
      </c>
      <c r="F74" s="33">
        <f t="shared" si="1"/>
        <v>0</v>
      </c>
    </row>
    <row r="75" spans="1:6" ht="12.75">
      <c r="A75" s="53"/>
      <c r="B75" s="103" t="s">
        <v>230</v>
      </c>
      <c r="C75" s="99">
        <v>0</v>
      </c>
      <c r="D75">
        <v>0</v>
      </c>
      <c r="E75">
        <v>0</v>
      </c>
      <c r="F75" s="33">
        <f t="shared" si="1"/>
        <v>0</v>
      </c>
    </row>
    <row r="76" spans="1:6" ht="12.75">
      <c r="A76" s="53"/>
      <c r="B76" s="103" t="s">
        <v>189</v>
      </c>
      <c r="C76" s="99">
        <v>0</v>
      </c>
      <c r="D76">
        <v>0</v>
      </c>
      <c r="E76">
        <v>0</v>
      </c>
      <c r="F76" s="33">
        <f t="shared" si="1"/>
        <v>0</v>
      </c>
    </row>
    <row r="77" spans="1:6" ht="12.75">
      <c r="A77" s="53"/>
      <c r="B77" s="103" t="s">
        <v>231</v>
      </c>
      <c r="C77" s="279">
        <v>171.45</v>
      </c>
      <c r="D77">
        <v>587</v>
      </c>
      <c r="E77">
        <v>334</v>
      </c>
      <c r="F77" s="33">
        <f t="shared" si="1"/>
        <v>171.45</v>
      </c>
    </row>
    <row r="78" spans="1:6" ht="12.75">
      <c r="A78" s="53" t="s">
        <v>81</v>
      </c>
      <c r="B78" s="103" t="s">
        <v>443</v>
      </c>
      <c r="C78" s="279">
        <v>33.67</v>
      </c>
      <c r="D78">
        <v>70.2</v>
      </c>
      <c r="E78">
        <v>55.7</v>
      </c>
      <c r="F78" s="33">
        <f t="shared" si="1"/>
        <v>33.67</v>
      </c>
    </row>
    <row r="79" spans="1:6" ht="12.75">
      <c r="A79" s="53" t="s">
        <v>81</v>
      </c>
      <c r="B79" s="103" t="s">
        <v>190</v>
      </c>
      <c r="C79" s="99">
        <v>0</v>
      </c>
      <c r="D79">
        <v>0</v>
      </c>
      <c r="E79">
        <v>0</v>
      </c>
      <c r="F79" s="33">
        <f t="shared" si="1"/>
        <v>0</v>
      </c>
    </row>
    <row r="80" spans="1:6" ht="12.75">
      <c r="A80" t="s">
        <v>84</v>
      </c>
      <c r="B80" s="104" t="s">
        <v>231</v>
      </c>
      <c r="C80" s="100">
        <v>0</v>
      </c>
      <c r="D80">
        <v>0</v>
      </c>
      <c r="E80">
        <v>0</v>
      </c>
      <c r="F80" s="33">
        <f t="shared" si="1"/>
        <v>0</v>
      </c>
    </row>
    <row r="81" spans="2:6" ht="12.75">
      <c r="B81" s="104" t="s">
        <v>443</v>
      </c>
      <c r="C81" s="100">
        <v>0</v>
      </c>
      <c r="D81">
        <v>0</v>
      </c>
      <c r="E81">
        <v>0</v>
      </c>
      <c r="F81" s="33">
        <f t="shared" si="1"/>
        <v>0</v>
      </c>
    </row>
    <row r="82" spans="1:6" ht="12.75">
      <c r="B82" s="104" t="s">
        <v>190</v>
      </c>
      <c r="C82" s="100">
        <v>0</v>
      </c>
      <c r="D82">
        <v>0</v>
      </c>
      <c r="E82">
        <v>0</v>
      </c>
      <c r="F82" s="33">
        <f t="shared" si="1"/>
        <v>0</v>
      </c>
    </row>
    <row r="83" spans="1:6" ht="12.75">
      <c r="A83" s="53" t="s">
        <v>229</v>
      </c>
      <c r="B83" s="103" t="s">
        <v>442</v>
      </c>
      <c r="C83" s="99">
        <v>458</v>
      </c>
      <c r="D83">
        <v>996</v>
      </c>
      <c r="E83">
        <v>1283.3</v>
      </c>
      <c r="F83" s="33">
        <f t="shared" si="1"/>
        <v>458</v>
      </c>
    </row>
    <row r="84" spans="1:6" ht="12.75">
      <c r="A84" s="53"/>
      <c r="B84" s="103" t="s">
        <v>230</v>
      </c>
      <c r="C84" s="99">
        <v>0</v>
      </c>
      <c r="D84">
        <v>0</v>
      </c>
      <c r="E84">
        <v>0</v>
      </c>
      <c r="F84" s="33">
        <f t="shared" si="1"/>
        <v>0</v>
      </c>
    </row>
    <row r="85" spans="1:6" ht="12.75">
      <c r="A85" s="53" t="s">
        <v>81</v>
      </c>
      <c r="B85" s="103" t="s">
        <v>189</v>
      </c>
      <c r="C85" s="99">
        <v>0</v>
      </c>
      <c r="D85">
        <v>0</v>
      </c>
      <c r="E85">
        <v>0</v>
      </c>
      <c r="F85" s="33">
        <f t="shared" si="1"/>
        <v>0</v>
      </c>
    </row>
    <row r="86" spans="1:6" ht="12.75">
      <c r="A86" s="53"/>
      <c r="B86" s="103" t="s">
        <v>232</v>
      </c>
      <c r="C86" s="99">
        <v>0</v>
      </c>
      <c r="D86">
        <v>0</v>
      </c>
      <c r="E86">
        <v>0</v>
      </c>
      <c r="F86" s="33">
        <f t="shared" si="1"/>
        <v>0</v>
      </c>
    </row>
    <row r="87" spans="1:6" ht="12.75">
      <c r="A87" s="53" t="s">
        <v>81</v>
      </c>
      <c r="B87" s="103" t="s">
        <v>233</v>
      </c>
      <c r="C87" s="99">
        <v>13</v>
      </c>
      <c r="D87">
        <v>39</v>
      </c>
      <c r="E87">
        <v>25</v>
      </c>
      <c r="F87" s="33">
        <f t="shared" si="1"/>
        <v>13</v>
      </c>
    </row>
    <row r="88" spans="1:6" ht="12.75">
      <c r="A88" s="53" t="s">
        <v>81</v>
      </c>
      <c r="B88" s="103" t="s">
        <v>191</v>
      </c>
      <c r="C88" s="99">
        <v>0</v>
      </c>
      <c r="D88">
        <v>0</v>
      </c>
      <c r="E88">
        <v>0</v>
      </c>
      <c r="F88" s="33">
        <f t="shared" si="1"/>
        <v>0</v>
      </c>
    </row>
    <row r="89" spans="1:6" ht="12.75">
      <c r="A89" s="53"/>
      <c r="B89" s="103" t="s">
        <v>231</v>
      </c>
      <c r="C89" s="99">
        <v>0</v>
      </c>
      <c r="D89">
        <v>0</v>
      </c>
      <c r="E89">
        <v>0</v>
      </c>
      <c r="F89" s="33">
        <f t="shared" si="1"/>
        <v>0</v>
      </c>
    </row>
    <row r="90" spans="1:6" ht="12.75">
      <c r="A90" s="53" t="s">
        <v>81</v>
      </c>
      <c r="B90" s="103" t="s">
        <v>443</v>
      </c>
      <c r="C90" s="99">
        <v>0</v>
      </c>
      <c r="D90">
        <v>0</v>
      </c>
      <c r="E90">
        <v>0</v>
      </c>
      <c r="F90" s="33">
        <f t="shared" si="1"/>
        <v>0</v>
      </c>
    </row>
    <row r="91" spans="1:6" ht="12.75">
      <c r="A91" s="53"/>
      <c r="B91" s="103" t="s">
        <v>190</v>
      </c>
      <c r="C91" s="99">
        <v>0</v>
      </c>
      <c r="D91">
        <v>0</v>
      </c>
      <c r="E91">
        <v>0</v>
      </c>
      <c r="F91" s="33">
        <f t="shared" si="1"/>
        <v>0</v>
      </c>
    </row>
    <row r="92" spans="1:6" ht="12.75">
      <c r="A92" t="s">
        <v>85</v>
      </c>
      <c r="B92" s="104" t="s">
        <v>231</v>
      </c>
      <c r="C92" s="100">
        <v>0</v>
      </c>
      <c r="D92">
        <v>0</v>
      </c>
      <c r="E92">
        <v>0</v>
      </c>
      <c r="F92" s="33">
        <f t="shared" si="1"/>
        <v>0</v>
      </c>
    </row>
    <row r="93" spans="2:6" ht="12.75">
      <c r="B93" s="104" t="s">
        <v>443</v>
      </c>
      <c r="C93" s="273">
        <v>1.479</v>
      </c>
      <c r="D93">
        <v>3.09</v>
      </c>
      <c r="E93">
        <v>21</v>
      </c>
      <c r="F93" s="33">
        <f t="shared" si="1"/>
        <v>1.479</v>
      </c>
    </row>
    <row r="94" spans="1:6" ht="12.75">
      <c r="B94" s="104" t="s">
        <v>190</v>
      </c>
      <c r="C94" s="100">
        <v>0</v>
      </c>
      <c r="D94">
        <v>0</v>
      </c>
      <c r="E94">
        <v>0</v>
      </c>
      <c r="F94" s="33">
        <f t="shared" si="1"/>
        <v>0</v>
      </c>
    </row>
    <row r="95" spans="1:6" ht="12.75">
      <c r="A95" s="53" t="s">
        <v>86</v>
      </c>
      <c r="B95" s="103" t="s">
        <v>232</v>
      </c>
      <c r="C95" s="99">
        <v>0</v>
      </c>
      <c r="D95">
        <v>0</v>
      </c>
      <c r="E95">
        <v>0</v>
      </c>
      <c r="F95" s="33">
        <f t="shared" si="1"/>
        <v>0</v>
      </c>
    </row>
    <row r="96" spans="1:6" ht="12.75">
      <c r="A96" s="53"/>
      <c r="B96" s="103" t="s">
        <v>233</v>
      </c>
      <c r="C96" s="99">
        <v>0</v>
      </c>
      <c r="D96">
        <v>0</v>
      </c>
      <c r="E96">
        <v>0</v>
      </c>
      <c r="F96" s="33">
        <f t="shared" si="1"/>
        <v>0</v>
      </c>
    </row>
    <row r="97" spans="1:6" ht="12.75">
      <c r="A97" s="53" t="s">
        <v>81</v>
      </c>
      <c r="B97" s="103" t="s">
        <v>191</v>
      </c>
      <c r="C97" s="99">
        <v>0</v>
      </c>
      <c r="D97">
        <v>0</v>
      </c>
      <c r="E97">
        <v>0</v>
      </c>
      <c r="F97" s="33">
        <f t="shared" si="1"/>
        <v>0</v>
      </c>
    </row>
    <row r="98" spans="1:6" ht="12.75">
      <c r="A98" s="53"/>
      <c r="B98" s="103" t="s">
        <v>231</v>
      </c>
      <c r="C98" s="99">
        <v>0</v>
      </c>
      <c r="D98">
        <v>0</v>
      </c>
      <c r="E98">
        <v>0</v>
      </c>
      <c r="F98" s="33">
        <f t="shared" si="1"/>
        <v>0</v>
      </c>
    </row>
    <row r="99" spans="1:6" ht="12.75">
      <c r="A99" s="53" t="s">
        <v>81</v>
      </c>
      <c r="B99" s="103" t="s">
        <v>443</v>
      </c>
      <c r="C99" s="279">
        <v>0</v>
      </c>
      <c r="D99">
        <v>0</v>
      </c>
      <c r="E99">
        <v>15.5</v>
      </c>
      <c r="F99" s="33">
        <f t="shared" si="1"/>
        <v>0</v>
      </c>
    </row>
    <row r="100" spans="1:6" ht="12.75">
      <c r="A100" s="53" t="s">
        <v>81</v>
      </c>
      <c r="B100" s="103" t="s">
        <v>190</v>
      </c>
      <c r="C100" s="99">
        <v>0</v>
      </c>
      <c r="D100">
        <v>0</v>
      </c>
      <c r="E100">
        <v>0</v>
      </c>
      <c r="F100" s="33">
        <f t="shared" si="1"/>
        <v>0</v>
      </c>
    </row>
    <row r="101" spans="1:6" ht="12.75">
      <c r="A101" t="s">
        <v>87</v>
      </c>
      <c r="B101" s="104" t="s">
        <v>231</v>
      </c>
      <c r="C101" s="100">
        <v>0</v>
      </c>
      <c r="D101">
        <v>0</v>
      </c>
      <c r="E101">
        <v>0</v>
      </c>
      <c r="F101" s="33">
        <f t="shared" si="1"/>
        <v>0</v>
      </c>
    </row>
    <row r="102" spans="2:6" ht="12.75">
      <c r="B102" s="104" t="s">
        <v>443</v>
      </c>
      <c r="C102" s="273">
        <v>123.25</v>
      </c>
      <c r="D102">
        <v>341</v>
      </c>
      <c r="E102">
        <v>167</v>
      </c>
      <c r="F102" s="33">
        <f t="shared" si="1"/>
        <v>123.25</v>
      </c>
    </row>
    <row r="103" spans="1:6" ht="12.75">
      <c r="B103" s="104" t="s">
        <v>190</v>
      </c>
      <c r="C103" s="100">
        <v>0</v>
      </c>
      <c r="D103">
        <v>0</v>
      </c>
      <c r="E103">
        <v>0</v>
      </c>
      <c r="F103" s="33">
        <f t="shared" si="1"/>
        <v>0</v>
      </c>
    </row>
    <row r="104" spans="1:6" ht="12.75">
      <c r="A104" s="53" t="s">
        <v>88</v>
      </c>
      <c r="B104" s="103" t="s">
        <v>231</v>
      </c>
      <c r="C104" s="99">
        <v>0</v>
      </c>
      <c r="D104">
        <v>0</v>
      </c>
      <c r="E104">
        <v>0</v>
      </c>
      <c r="F104" s="33">
        <f t="shared" si="1"/>
        <v>0</v>
      </c>
    </row>
    <row r="105" spans="1:6" ht="12.75">
      <c r="A105" s="53" t="s">
        <v>81</v>
      </c>
      <c r="B105" s="103" t="s">
        <v>443</v>
      </c>
      <c r="C105" s="279">
        <v>258.8</v>
      </c>
      <c r="D105">
        <v>291</v>
      </c>
      <c r="E105">
        <v>255</v>
      </c>
      <c r="F105" s="33">
        <f t="shared" si="1"/>
        <v>258.8</v>
      </c>
    </row>
    <row r="106" spans="1:6" ht="12.75">
      <c r="A106" s="53" t="s">
        <v>81</v>
      </c>
      <c r="B106" s="103" t="s">
        <v>190</v>
      </c>
      <c r="C106" s="99">
        <v>0</v>
      </c>
      <c r="D106">
        <v>0</v>
      </c>
      <c r="E106">
        <v>0</v>
      </c>
      <c r="F106" s="33">
        <f t="shared" si="1"/>
        <v>0</v>
      </c>
    </row>
    <row r="107" spans="1:6" ht="12.75">
      <c r="A107" s="53"/>
      <c r="B107" s="103" t="s">
        <v>234</v>
      </c>
      <c r="C107" s="99">
        <v>0</v>
      </c>
      <c r="D107">
        <v>0</v>
      </c>
      <c r="E107">
        <v>0</v>
      </c>
      <c r="F107" s="33">
        <f t="shared" si="1"/>
        <v>0</v>
      </c>
    </row>
    <row r="108" spans="1:6" ht="12.75">
      <c r="A108" s="53" t="s">
        <v>81</v>
      </c>
      <c r="B108" s="103" t="s">
        <v>253</v>
      </c>
      <c r="C108" s="279">
        <v>77.6</v>
      </c>
      <c r="D108">
        <v>106</v>
      </c>
      <c r="E108">
        <v>57.5</v>
      </c>
      <c r="F108" s="33">
        <f t="shared" si="1"/>
        <v>77.6</v>
      </c>
    </row>
    <row r="109" spans="1:6" ht="12.75">
      <c r="A109" s="53" t="s">
        <v>81</v>
      </c>
      <c r="B109" s="103" t="s">
        <v>192</v>
      </c>
      <c r="C109" s="99">
        <v>0</v>
      </c>
      <c r="D109">
        <v>0</v>
      </c>
      <c r="E109">
        <v>0</v>
      </c>
      <c r="F109" s="33">
        <f t="shared" si="1"/>
        <v>0</v>
      </c>
    </row>
    <row r="110" spans="1:6" ht="12.75">
      <c r="A110" t="s">
        <v>89</v>
      </c>
      <c r="B110" s="104" t="s">
        <v>442</v>
      </c>
      <c r="C110" s="100">
        <v>0</v>
      </c>
      <c r="D110">
        <v>0</v>
      </c>
      <c r="E110">
        <v>0</v>
      </c>
      <c r="F110" s="33">
        <f t="shared" si="1"/>
        <v>0</v>
      </c>
    </row>
    <row r="111" spans="2:6" ht="12.75">
      <c r="B111" s="104" t="s">
        <v>230</v>
      </c>
      <c r="C111" s="100">
        <v>0</v>
      </c>
      <c r="D111">
        <v>0</v>
      </c>
      <c r="E111">
        <v>0</v>
      </c>
      <c r="F111" s="33">
        <f t="shared" si="1"/>
        <v>0</v>
      </c>
    </row>
    <row r="112" spans="1:6" ht="12.75">
      <c r="B112" s="104" t="s">
        <v>189</v>
      </c>
      <c r="C112" s="100">
        <v>0</v>
      </c>
      <c r="D112">
        <v>0</v>
      </c>
      <c r="E112">
        <v>0</v>
      </c>
      <c r="F112" s="33">
        <f t="shared" si="1"/>
        <v>0</v>
      </c>
    </row>
    <row r="113" spans="2:6" ht="12.75">
      <c r="B113" s="104" t="s">
        <v>232</v>
      </c>
      <c r="C113" s="100">
        <v>0</v>
      </c>
      <c r="D113">
        <v>0</v>
      </c>
      <c r="E113">
        <v>0</v>
      </c>
      <c r="F113" s="33">
        <f t="shared" si="1"/>
        <v>0</v>
      </c>
    </row>
    <row r="114" spans="1:6" ht="12.75">
      <c r="B114" s="104" t="s">
        <v>233</v>
      </c>
      <c r="C114" s="100">
        <v>12</v>
      </c>
      <c r="D114">
        <v>26</v>
      </c>
      <c r="E114">
        <v>22</v>
      </c>
      <c r="F114" s="33">
        <f t="shared" si="1"/>
        <v>12</v>
      </c>
    </row>
    <row r="115" spans="1:6" ht="12.75">
      <c r="B115" s="104" t="s">
        <v>191</v>
      </c>
      <c r="C115" s="100">
        <v>0</v>
      </c>
      <c r="D115">
        <v>0</v>
      </c>
      <c r="E115">
        <v>0</v>
      </c>
      <c r="F115" s="33">
        <f t="shared" si="1"/>
        <v>0</v>
      </c>
    </row>
    <row r="116" spans="2:6" ht="12.75">
      <c r="B116" s="104" t="s">
        <v>231</v>
      </c>
      <c r="C116" s="100">
        <v>0</v>
      </c>
      <c r="D116">
        <v>0</v>
      </c>
      <c r="E116">
        <v>0</v>
      </c>
      <c r="F116" s="33">
        <f t="shared" si="1"/>
        <v>0</v>
      </c>
    </row>
    <row r="117" spans="1:6" ht="12.75">
      <c r="B117" s="104" t="s">
        <v>443</v>
      </c>
      <c r="C117" s="100">
        <v>0</v>
      </c>
      <c r="D117">
        <v>0</v>
      </c>
      <c r="E117">
        <v>0</v>
      </c>
      <c r="F117" s="33">
        <f t="shared" si="1"/>
        <v>0</v>
      </c>
    </row>
    <row r="118" spans="1:6" ht="12.75">
      <c r="B118" s="104" t="s">
        <v>190</v>
      </c>
      <c r="C118" s="100">
        <v>0</v>
      </c>
      <c r="D118">
        <v>0</v>
      </c>
      <c r="E118">
        <v>0</v>
      </c>
      <c r="F118" s="33">
        <f t="shared" si="1"/>
        <v>0</v>
      </c>
    </row>
    <row r="119" spans="2:6" ht="12.75">
      <c r="B119" s="104" t="s">
        <v>234</v>
      </c>
      <c r="C119" s="100">
        <v>0</v>
      </c>
      <c r="E119">
        <v>0</v>
      </c>
      <c r="F119" s="33">
        <f t="shared" si="1"/>
        <v>0</v>
      </c>
    </row>
    <row r="120" spans="2:6" ht="12.75">
      <c r="B120" s="104" t="s">
        <v>253</v>
      </c>
      <c r="C120" s="100">
        <v>0</v>
      </c>
      <c r="E120">
        <v>0</v>
      </c>
      <c r="F120" s="33">
        <f t="shared" si="1"/>
        <v>0</v>
      </c>
    </row>
    <row r="121" spans="2:6" ht="12.75">
      <c r="B121" s="104" t="s">
        <v>192</v>
      </c>
      <c r="C121" s="100">
        <v>0</v>
      </c>
      <c r="E121">
        <v>0</v>
      </c>
      <c r="F121" s="33">
        <f t="shared" si="1"/>
        <v>0</v>
      </c>
    </row>
    <row r="122" spans="1:6" ht="12.75">
      <c r="A122" s="53" t="s">
        <v>90</v>
      </c>
      <c r="B122" s="103" t="s">
        <v>232</v>
      </c>
      <c r="C122" s="99">
        <v>0</v>
      </c>
      <c r="D122">
        <v>0</v>
      </c>
      <c r="E122">
        <v>0</v>
      </c>
      <c r="F122" s="33">
        <f t="shared" si="1"/>
        <v>0</v>
      </c>
    </row>
    <row r="123" spans="1:6" ht="12.75">
      <c r="A123" s="53"/>
      <c r="B123" s="103" t="s">
        <v>233</v>
      </c>
      <c r="C123" s="99">
        <v>3</v>
      </c>
      <c r="D123">
        <v>14</v>
      </c>
      <c r="E123">
        <v>28</v>
      </c>
      <c r="F123" s="33">
        <f t="shared" si="1"/>
        <v>3</v>
      </c>
    </row>
    <row r="124" spans="1:6" ht="12.75">
      <c r="A124" s="53" t="s">
        <v>81</v>
      </c>
      <c r="B124" s="103" t="s">
        <v>191</v>
      </c>
      <c r="C124" s="99">
        <v>0</v>
      </c>
      <c r="D124">
        <v>0</v>
      </c>
      <c r="E124">
        <v>0</v>
      </c>
      <c r="F124" s="33">
        <f t="shared" si="1"/>
        <v>0</v>
      </c>
    </row>
    <row r="125" spans="1:6" ht="12.75">
      <c r="A125" s="53"/>
      <c r="B125" s="103" t="s">
        <v>231</v>
      </c>
      <c r="C125" s="99">
        <v>0</v>
      </c>
      <c r="D125">
        <v>0</v>
      </c>
      <c r="E125">
        <v>0</v>
      </c>
      <c r="F125" s="33">
        <f t="shared" si="1"/>
        <v>0</v>
      </c>
    </row>
    <row r="126" spans="1:6" ht="12.75">
      <c r="A126" s="53" t="s">
        <v>81</v>
      </c>
      <c r="B126" s="103" t="s">
        <v>443</v>
      </c>
      <c r="C126" s="279">
        <v>53.6</v>
      </c>
      <c r="D126">
        <v>0</v>
      </c>
      <c r="E126">
        <v>19.6</v>
      </c>
      <c r="F126" s="33">
        <f t="shared" si="1"/>
        <v>53.6</v>
      </c>
    </row>
    <row r="127" spans="1:6" ht="12.75">
      <c r="A127" s="53" t="s">
        <v>81</v>
      </c>
      <c r="B127" s="103" t="s">
        <v>190</v>
      </c>
      <c r="C127" s="99">
        <v>0</v>
      </c>
      <c r="D127">
        <v>0</v>
      </c>
      <c r="E127">
        <v>0</v>
      </c>
      <c r="F127" s="33">
        <f t="shared" si="1"/>
        <v>0</v>
      </c>
    </row>
    <row r="128" spans="1:6" ht="12.75">
      <c r="A128" s="53"/>
      <c r="B128" s="103" t="s">
        <v>234</v>
      </c>
      <c r="C128" s="99">
        <v>0</v>
      </c>
      <c r="D128">
        <v>0</v>
      </c>
      <c r="E128">
        <v>0</v>
      </c>
      <c r="F128" s="33">
        <f t="shared" si="1"/>
        <v>0</v>
      </c>
    </row>
    <row r="129" spans="1:6" ht="12.75">
      <c r="A129" s="53" t="s">
        <v>81</v>
      </c>
      <c r="B129" s="103" t="s">
        <v>253</v>
      </c>
      <c r="C129" s="99">
        <v>0</v>
      </c>
      <c r="D129">
        <v>19.8</v>
      </c>
      <c r="E129">
        <v>0</v>
      </c>
      <c r="F129" s="33">
        <f t="shared" si="1"/>
        <v>0</v>
      </c>
    </row>
    <row r="130" spans="1:6" ht="12.75">
      <c r="A130" s="53" t="s">
        <v>81</v>
      </c>
      <c r="B130" s="103" t="s">
        <v>192</v>
      </c>
      <c r="C130" s="99">
        <v>0</v>
      </c>
      <c r="D130">
        <v>0</v>
      </c>
      <c r="E130">
        <v>0</v>
      </c>
      <c r="F130" s="33">
        <f t="shared" si="1"/>
        <v>0</v>
      </c>
    </row>
    <row r="131" spans="1:6" ht="12.75">
      <c r="A131" t="s">
        <v>91</v>
      </c>
      <c r="B131" s="104" t="s">
        <v>232</v>
      </c>
      <c r="C131" s="100">
        <v>0</v>
      </c>
      <c r="D131">
        <v>0</v>
      </c>
      <c r="E131">
        <v>0</v>
      </c>
      <c r="F131" s="33">
        <f t="shared" si="1"/>
        <v>0</v>
      </c>
    </row>
    <row r="132" spans="2:6" ht="12.75">
      <c r="B132" s="104" t="s">
        <v>233</v>
      </c>
      <c r="C132" s="100">
        <v>159</v>
      </c>
      <c r="D132">
        <v>273</v>
      </c>
      <c r="E132">
        <v>87</v>
      </c>
      <c r="F132" s="33">
        <f t="shared" si="1"/>
        <v>159</v>
      </c>
    </row>
    <row r="133" spans="1:6" ht="12.75">
      <c r="B133" s="104" t="s">
        <v>191</v>
      </c>
      <c r="C133" s="100">
        <v>382</v>
      </c>
      <c r="D133">
        <v>548</v>
      </c>
      <c r="E133">
        <v>496</v>
      </c>
      <c r="F133" s="33">
        <f aca="true" t="shared" si="2" ref="F133:F196">C133</f>
        <v>382</v>
      </c>
    </row>
    <row r="134" spans="2:6" ht="12.75">
      <c r="B134" s="104" t="s">
        <v>234</v>
      </c>
      <c r="C134" s="100">
        <v>0</v>
      </c>
      <c r="D134">
        <v>0</v>
      </c>
      <c r="E134">
        <v>0</v>
      </c>
      <c r="F134" s="33">
        <f t="shared" si="2"/>
        <v>0</v>
      </c>
    </row>
    <row r="135" spans="1:6" ht="12.75">
      <c r="B135" s="104" t="s">
        <v>253</v>
      </c>
      <c r="C135" s="273">
        <v>21</v>
      </c>
      <c r="D135">
        <v>59.2</v>
      </c>
      <c r="E135">
        <v>44.3</v>
      </c>
      <c r="F135" s="33">
        <f t="shared" si="2"/>
        <v>21</v>
      </c>
    </row>
    <row r="136" spans="1:6" ht="12.75">
      <c r="B136" s="104" t="s">
        <v>192</v>
      </c>
      <c r="C136" s="100">
        <v>0</v>
      </c>
      <c r="D136">
        <v>0</v>
      </c>
      <c r="E136">
        <v>0</v>
      </c>
      <c r="F136" s="33">
        <f t="shared" si="2"/>
        <v>0</v>
      </c>
    </row>
    <row r="137" spans="1:6" ht="12.75">
      <c r="A137" s="53" t="s">
        <v>92</v>
      </c>
      <c r="B137" s="103" t="s">
        <v>232</v>
      </c>
      <c r="C137" s="99">
        <v>0</v>
      </c>
      <c r="D137">
        <v>0</v>
      </c>
      <c r="E137">
        <v>0</v>
      </c>
      <c r="F137" s="33">
        <f t="shared" si="2"/>
        <v>0</v>
      </c>
    </row>
    <row r="138" spans="1:6" ht="12.75">
      <c r="A138" s="53"/>
      <c r="B138" s="103" t="s">
        <v>233</v>
      </c>
      <c r="C138" s="99">
        <v>767</v>
      </c>
      <c r="D138">
        <v>1064</v>
      </c>
      <c r="E138">
        <v>668</v>
      </c>
      <c r="F138" s="33">
        <f t="shared" si="2"/>
        <v>767</v>
      </c>
    </row>
    <row r="139" spans="1:6" ht="12.75">
      <c r="A139" s="53" t="s">
        <v>81</v>
      </c>
      <c r="B139" s="103" t="s">
        <v>191</v>
      </c>
      <c r="C139" s="99">
        <v>0</v>
      </c>
      <c r="D139">
        <v>0</v>
      </c>
      <c r="E139">
        <v>0</v>
      </c>
      <c r="F139" s="33">
        <f t="shared" si="2"/>
        <v>0</v>
      </c>
    </row>
    <row r="140" spans="1:6" ht="12.75">
      <c r="A140" s="53"/>
      <c r="B140" s="103" t="s">
        <v>231</v>
      </c>
      <c r="C140" s="279">
        <v>1660.7</v>
      </c>
      <c r="D140">
        <v>3719</v>
      </c>
      <c r="E140">
        <v>3066</v>
      </c>
      <c r="F140" s="33">
        <f t="shared" si="2"/>
        <v>1660.7</v>
      </c>
    </row>
    <row r="141" spans="1:6" ht="12.75">
      <c r="A141" s="53" t="s">
        <v>81</v>
      </c>
      <c r="B141" s="103" t="s">
        <v>443</v>
      </c>
      <c r="C141" s="279">
        <v>1918</v>
      </c>
      <c r="D141">
        <v>1401</v>
      </c>
      <c r="E141">
        <v>1931</v>
      </c>
      <c r="F141" s="33">
        <f t="shared" si="2"/>
        <v>1918</v>
      </c>
    </row>
    <row r="142" spans="1:6" ht="12.75">
      <c r="A142" s="53" t="s">
        <v>81</v>
      </c>
      <c r="B142" s="103" t="s">
        <v>190</v>
      </c>
      <c r="C142" s="99">
        <v>0</v>
      </c>
      <c r="D142">
        <v>0</v>
      </c>
      <c r="E142">
        <v>0</v>
      </c>
      <c r="F142" s="33">
        <f t="shared" si="2"/>
        <v>0</v>
      </c>
    </row>
    <row r="143" spans="1:6" ht="12.75">
      <c r="A143" s="53"/>
      <c r="B143" s="103" t="s">
        <v>282</v>
      </c>
      <c r="C143" s="99">
        <v>0</v>
      </c>
      <c r="D143">
        <v>0</v>
      </c>
      <c r="E143">
        <v>0</v>
      </c>
      <c r="F143" s="33">
        <f t="shared" si="2"/>
        <v>0</v>
      </c>
    </row>
    <row r="144" spans="1:6" ht="12.75">
      <c r="A144" s="53" t="s">
        <v>81</v>
      </c>
      <c r="B144" s="103" t="s">
        <v>444</v>
      </c>
      <c r="C144" s="279">
        <v>1278</v>
      </c>
      <c r="D144">
        <v>1562</v>
      </c>
      <c r="E144">
        <v>689</v>
      </c>
      <c r="F144" s="33">
        <f t="shared" si="2"/>
        <v>1278</v>
      </c>
    </row>
    <row r="145" spans="1:6" ht="12.75">
      <c r="A145" s="53" t="s">
        <v>81</v>
      </c>
      <c r="B145" s="103" t="s">
        <v>281</v>
      </c>
      <c r="C145" s="99">
        <v>0</v>
      </c>
      <c r="D145">
        <v>0</v>
      </c>
      <c r="E145">
        <v>0</v>
      </c>
      <c r="F145" s="33">
        <f t="shared" si="2"/>
        <v>0</v>
      </c>
    </row>
    <row r="146" ht="12.75">
      <c r="F146" s="33"/>
    </row>
    <row r="147" spans="1:6" ht="12.75">
      <c r="A147" s="96" t="s">
        <v>254</v>
      </c>
      <c r="F147" s="33"/>
    </row>
    <row r="148" spans="1:6" ht="12.75">
      <c r="B148" s="102" t="s">
        <v>439</v>
      </c>
      <c r="C148" s="18">
        <v>0.6</v>
      </c>
      <c r="D148" s="315">
        <v>0.6</v>
      </c>
      <c r="E148" s="315">
        <v>0.6</v>
      </c>
      <c r="F148" s="315">
        <f t="shared" si="2"/>
        <v>0.6</v>
      </c>
    </row>
    <row r="149" spans="1:6" ht="12.75">
      <c r="B149" s="102" t="s">
        <v>440</v>
      </c>
      <c r="C149" s="18">
        <v>0.75</v>
      </c>
      <c r="D149" s="315">
        <v>0.75</v>
      </c>
      <c r="E149" s="315">
        <v>0.75</v>
      </c>
      <c r="F149" s="315">
        <f t="shared" si="2"/>
        <v>0.75</v>
      </c>
    </row>
    <row r="150" spans="1:6" ht="12.75">
      <c r="B150" s="102" t="s">
        <v>441</v>
      </c>
      <c r="C150" s="18">
        <v>0.5</v>
      </c>
      <c r="D150" s="315">
        <v>0.5</v>
      </c>
      <c r="E150" s="315">
        <v>0.5</v>
      </c>
      <c r="F150" s="315">
        <f t="shared" si="2"/>
        <v>0.5</v>
      </c>
    </row>
    <row r="151" ht="12.75">
      <c r="F151" s="33"/>
    </row>
    <row r="152" spans="1:6" ht="12.75">
      <c r="A152" s="96" t="s">
        <v>436</v>
      </c>
      <c r="B152" s="14"/>
      <c r="F152" s="33"/>
    </row>
    <row r="153" spans="1:6" ht="12.75">
      <c r="A153" s="53" t="s">
        <v>80</v>
      </c>
      <c r="B153" s="103" t="s">
        <v>255</v>
      </c>
      <c r="C153" s="201">
        <v>43</v>
      </c>
      <c r="D153">
        <v>0</v>
      </c>
      <c r="E153">
        <v>46.16333333333334</v>
      </c>
      <c r="F153" s="33">
        <f t="shared" si="2"/>
        <v>43</v>
      </c>
    </row>
    <row r="154" spans="1:6" ht="12.75">
      <c r="A154" t="s">
        <v>82</v>
      </c>
      <c r="B154" s="104" t="s">
        <v>255</v>
      </c>
      <c r="C154" s="9">
        <v>0</v>
      </c>
      <c r="D154">
        <v>0</v>
      </c>
      <c r="E154">
        <v>0</v>
      </c>
      <c r="F154" s="33">
        <f t="shared" si="2"/>
        <v>0</v>
      </c>
    </row>
    <row r="155" spans="1:6" ht="12.75">
      <c r="B155" s="104" t="s">
        <v>257</v>
      </c>
      <c r="C155" s="9">
        <v>40.5</v>
      </c>
      <c r="D155">
        <v>0</v>
      </c>
      <c r="E155">
        <v>40.5</v>
      </c>
      <c r="F155" s="33">
        <f t="shared" si="2"/>
        <v>40.5</v>
      </c>
    </row>
    <row r="156" spans="1:6" ht="12.75">
      <c r="B156" s="104" t="s">
        <v>256</v>
      </c>
      <c r="C156" s="9">
        <v>0</v>
      </c>
      <c r="D156">
        <v>0</v>
      </c>
      <c r="E156">
        <v>0</v>
      </c>
      <c r="F156" s="33">
        <f t="shared" si="2"/>
        <v>0</v>
      </c>
    </row>
    <row r="157" spans="1:6" ht="12.75">
      <c r="A157" s="53" t="s">
        <v>83</v>
      </c>
      <c r="B157" s="103" t="s">
        <v>255</v>
      </c>
      <c r="C157" s="54">
        <v>0</v>
      </c>
      <c r="D157">
        <v>0</v>
      </c>
      <c r="E157">
        <v>0</v>
      </c>
      <c r="F157" s="33">
        <f t="shared" si="2"/>
        <v>0</v>
      </c>
    </row>
    <row r="158" spans="1:6" ht="12.75">
      <c r="A158" s="53"/>
      <c r="B158" s="103" t="s">
        <v>256</v>
      </c>
      <c r="C158" s="103">
        <v>21</v>
      </c>
      <c r="D158">
        <v>0</v>
      </c>
      <c r="E158">
        <v>21.7</v>
      </c>
      <c r="F158" s="33">
        <f t="shared" si="2"/>
        <v>21</v>
      </c>
    </row>
    <row r="159" spans="1:6" ht="12.75">
      <c r="A159" t="s">
        <v>84</v>
      </c>
      <c r="B159" s="104" t="s">
        <v>256</v>
      </c>
      <c r="C159" s="9">
        <v>82</v>
      </c>
      <c r="D159">
        <v>0</v>
      </c>
      <c r="E159">
        <v>64</v>
      </c>
      <c r="F159" s="33">
        <f t="shared" si="2"/>
        <v>82</v>
      </c>
    </row>
    <row r="160" spans="1:6" ht="12.75">
      <c r="A160" s="53" t="s">
        <v>229</v>
      </c>
      <c r="B160" s="103" t="s">
        <v>255</v>
      </c>
      <c r="C160" s="54">
        <v>0</v>
      </c>
      <c r="D160">
        <v>0</v>
      </c>
      <c r="E160">
        <v>0</v>
      </c>
      <c r="F160" s="33">
        <f t="shared" si="2"/>
        <v>0</v>
      </c>
    </row>
    <row r="161" spans="1:6" ht="12.75">
      <c r="A161" s="53" t="s">
        <v>81</v>
      </c>
      <c r="B161" s="103" t="s">
        <v>257</v>
      </c>
      <c r="C161" s="54">
        <v>284.5</v>
      </c>
      <c r="D161">
        <v>0</v>
      </c>
      <c r="E161">
        <v>284.5</v>
      </c>
      <c r="F161" s="33">
        <f t="shared" si="2"/>
        <v>284.5</v>
      </c>
    </row>
    <row r="162" spans="1:6" ht="12.75">
      <c r="A162" s="53" t="s">
        <v>81</v>
      </c>
      <c r="B162" s="103" t="s">
        <v>256</v>
      </c>
      <c r="C162" s="54">
        <v>0</v>
      </c>
      <c r="D162">
        <v>0</v>
      </c>
      <c r="E162">
        <v>0</v>
      </c>
      <c r="F162" s="33">
        <f t="shared" si="2"/>
        <v>0</v>
      </c>
    </row>
    <row r="163" spans="1:6" ht="12.75">
      <c r="A163" t="s">
        <v>85</v>
      </c>
      <c r="B163" s="104" t="s">
        <v>256</v>
      </c>
      <c r="C163" s="104">
        <v>134.8</v>
      </c>
      <c r="D163">
        <v>0</v>
      </c>
      <c r="E163">
        <v>244.1</v>
      </c>
      <c r="F163" s="33">
        <f t="shared" si="2"/>
        <v>134.8</v>
      </c>
    </row>
    <row r="164" spans="1:6" ht="12.75">
      <c r="A164" s="53" t="s">
        <v>86</v>
      </c>
      <c r="B164" s="103" t="s">
        <v>257</v>
      </c>
      <c r="C164" s="54">
        <v>6.6</v>
      </c>
      <c r="D164">
        <v>0</v>
      </c>
      <c r="E164">
        <v>6.6</v>
      </c>
      <c r="F164" s="33">
        <f t="shared" si="2"/>
        <v>6.6</v>
      </c>
    </row>
    <row r="165" spans="1:6" ht="12.75">
      <c r="A165" s="53" t="s">
        <v>81</v>
      </c>
      <c r="B165" s="103" t="s">
        <v>256</v>
      </c>
      <c r="C165" s="103">
        <v>1.8</v>
      </c>
      <c r="D165">
        <v>0</v>
      </c>
      <c r="E165">
        <v>8.2</v>
      </c>
      <c r="F165" s="33">
        <f t="shared" si="2"/>
        <v>1.8</v>
      </c>
    </row>
    <row r="166" spans="1:6" ht="12.75">
      <c r="A166" t="s">
        <v>87</v>
      </c>
      <c r="B166" s="104" t="s">
        <v>256</v>
      </c>
      <c r="C166" s="104">
        <v>181.9</v>
      </c>
      <c r="D166">
        <v>0</v>
      </c>
      <c r="E166">
        <v>155.4</v>
      </c>
      <c r="F166" s="33">
        <f t="shared" si="2"/>
        <v>181.9</v>
      </c>
    </row>
    <row r="167" spans="1:6" ht="12.75">
      <c r="A167" s="53" t="s">
        <v>88</v>
      </c>
      <c r="B167" s="103" t="s">
        <v>256</v>
      </c>
      <c r="C167" s="103">
        <v>292.3</v>
      </c>
      <c r="D167">
        <v>0</v>
      </c>
      <c r="E167">
        <v>233.2</v>
      </c>
      <c r="F167" s="33">
        <f t="shared" si="2"/>
        <v>292.3</v>
      </c>
    </row>
    <row r="168" spans="1:6" ht="12.75">
      <c r="A168" s="53"/>
      <c r="B168" s="103" t="s">
        <v>437</v>
      </c>
      <c r="C168" s="103">
        <v>7.2</v>
      </c>
      <c r="D168">
        <v>0</v>
      </c>
      <c r="E168">
        <v>3.6</v>
      </c>
      <c r="F168" s="33">
        <f t="shared" si="2"/>
        <v>7.2</v>
      </c>
    </row>
    <row r="169" spans="1:6" ht="12.75">
      <c r="A169" t="s">
        <v>89</v>
      </c>
      <c r="B169" s="104" t="s">
        <v>255</v>
      </c>
      <c r="C169" s="9">
        <v>0</v>
      </c>
      <c r="D169">
        <v>0</v>
      </c>
      <c r="E169">
        <v>0</v>
      </c>
      <c r="F169" s="33">
        <f t="shared" si="2"/>
        <v>0</v>
      </c>
    </row>
    <row r="170" spans="1:6" ht="12.75">
      <c r="B170" s="104" t="s">
        <v>257</v>
      </c>
      <c r="C170" s="9">
        <v>134.7</v>
      </c>
      <c r="D170">
        <v>0</v>
      </c>
      <c r="E170">
        <v>134.7</v>
      </c>
      <c r="F170" s="33">
        <f t="shared" si="2"/>
        <v>134.7</v>
      </c>
    </row>
    <row r="171" spans="1:6" ht="12.75">
      <c r="B171" s="104" t="s">
        <v>256</v>
      </c>
      <c r="C171" s="104">
        <v>50.7</v>
      </c>
      <c r="D171">
        <v>0</v>
      </c>
      <c r="E171">
        <v>23.4</v>
      </c>
      <c r="F171" s="33">
        <f t="shared" si="2"/>
        <v>50.7</v>
      </c>
    </row>
    <row r="172" spans="2:6" ht="12.75">
      <c r="B172" s="104" t="s">
        <v>437</v>
      </c>
      <c r="C172" s="9">
        <v>0</v>
      </c>
      <c r="D172">
        <v>0</v>
      </c>
      <c r="E172">
        <v>0</v>
      </c>
      <c r="F172" s="33">
        <f t="shared" si="2"/>
        <v>0</v>
      </c>
    </row>
    <row r="173" spans="1:6" ht="12.75">
      <c r="A173" s="53" t="s">
        <v>90</v>
      </c>
      <c r="B173" s="103" t="s">
        <v>257</v>
      </c>
      <c r="C173" s="54">
        <v>278.3</v>
      </c>
      <c r="D173">
        <v>0</v>
      </c>
      <c r="E173">
        <v>278.3</v>
      </c>
      <c r="F173" s="33">
        <f t="shared" si="2"/>
        <v>278.3</v>
      </c>
    </row>
    <row r="174" spans="1:6" ht="12.75">
      <c r="A174" s="53" t="s">
        <v>81</v>
      </c>
      <c r="B174" s="103" t="s">
        <v>256</v>
      </c>
      <c r="C174" s="103">
        <v>42.8</v>
      </c>
      <c r="D174">
        <v>0</v>
      </c>
      <c r="E174">
        <v>22.3</v>
      </c>
      <c r="F174" s="33">
        <f t="shared" si="2"/>
        <v>42.8</v>
      </c>
    </row>
    <row r="175" spans="1:6" ht="12.75">
      <c r="A175" s="53"/>
      <c r="B175" s="103" t="s">
        <v>437</v>
      </c>
      <c r="C175" s="103">
        <v>5.2</v>
      </c>
      <c r="D175">
        <v>0</v>
      </c>
      <c r="E175">
        <v>7.3</v>
      </c>
      <c r="F175" s="33">
        <f t="shared" si="2"/>
        <v>5.2</v>
      </c>
    </row>
    <row r="176" spans="1:6" ht="12.75">
      <c r="A176" t="s">
        <v>91</v>
      </c>
      <c r="B176" s="104" t="s">
        <v>257</v>
      </c>
      <c r="C176" s="9">
        <v>371.1</v>
      </c>
      <c r="D176">
        <v>0</v>
      </c>
      <c r="E176">
        <v>371.1</v>
      </c>
      <c r="F176" s="33">
        <f t="shared" si="2"/>
        <v>371.1</v>
      </c>
    </row>
    <row r="177" spans="1:6" s="17" customFormat="1" ht="12.75">
      <c r="A177" t="s">
        <v>81</v>
      </c>
      <c r="B177" s="104" t="s">
        <v>256</v>
      </c>
      <c r="C177" s="104">
        <v>21.2</v>
      </c>
      <c r="D177">
        <v>0</v>
      </c>
      <c r="E177">
        <v>17.4</v>
      </c>
      <c r="F177" s="33">
        <f t="shared" si="2"/>
        <v>21.2</v>
      </c>
    </row>
    <row r="178" spans="1:6" ht="12.75">
      <c r="A178" s="53" t="s">
        <v>92</v>
      </c>
      <c r="B178" s="103" t="s">
        <v>257</v>
      </c>
      <c r="C178" s="54">
        <v>147.9</v>
      </c>
      <c r="D178">
        <v>0</v>
      </c>
      <c r="E178">
        <v>147.9</v>
      </c>
      <c r="F178" s="33">
        <f t="shared" si="2"/>
        <v>147.9</v>
      </c>
    </row>
    <row r="179" spans="1:6" ht="12.75">
      <c r="A179" s="53"/>
      <c r="B179" s="322" t="s">
        <v>584</v>
      </c>
      <c r="C179" s="323">
        <v>1891</v>
      </c>
      <c r="D179">
        <v>0</v>
      </c>
      <c r="E179">
        <v>2331.2</v>
      </c>
      <c r="F179" s="33">
        <f>C179</f>
        <v>1891</v>
      </c>
    </row>
    <row r="180" spans="1:6" ht="12.75">
      <c r="A180" s="53" t="s">
        <v>81</v>
      </c>
      <c r="B180" s="322" t="s">
        <v>585</v>
      </c>
      <c r="C180" s="324">
        <v>137</v>
      </c>
      <c r="D180">
        <v>0</v>
      </c>
      <c r="E180">
        <v>340</v>
      </c>
      <c r="F180" s="33">
        <f t="shared" si="2"/>
        <v>137</v>
      </c>
    </row>
    <row r="181" spans="1:6" ht="12.75">
      <c r="F181" s="33"/>
    </row>
    <row r="182" spans="1:6" ht="12.75">
      <c r="A182" s="5" t="s">
        <v>97</v>
      </c>
      <c r="B182" s="14" t="s">
        <v>81</v>
      </c>
      <c r="F182" s="33"/>
    </row>
    <row r="183" spans="1:6" ht="12.75">
      <c r="A183" s="53" t="s">
        <v>80</v>
      </c>
      <c r="B183" s="55" t="s">
        <v>98</v>
      </c>
      <c r="C183" s="279">
        <v>21060</v>
      </c>
      <c r="D183">
        <v>17700</v>
      </c>
      <c r="E183">
        <v>19759</v>
      </c>
      <c r="F183" s="33">
        <f t="shared" si="2"/>
        <v>21060</v>
      </c>
    </row>
    <row r="184" spans="1:6" ht="12.75">
      <c r="A184" t="s">
        <v>82</v>
      </c>
      <c r="B184" s="6" t="s">
        <v>99</v>
      </c>
      <c r="C184" s="273">
        <v>1151</v>
      </c>
      <c r="D184">
        <v>1060</v>
      </c>
      <c r="E184">
        <v>341</v>
      </c>
      <c r="F184" s="33">
        <f t="shared" si="2"/>
        <v>1151</v>
      </c>
    </row>
    <row r="185" spans="1:6" ht="12.75">
      <c r="A185" s="53" t="s">
        <v>83</v>
      </c>
      <c r="B185" s="55" t="s">
        <v>100</v>
      </c>
      <c r="C185" s="279">
        <v>2227</v>
      </c>
      <c r="D185">
        <v>2090</v>
      </c>
      <c r="E185">
        <v>2276</v>
      </c>
      <c r="F185" s="33">
        <f t="shared" si="2"/>
        <v>2227</v>
      </c>
    </row>
    <row r="186" spans="1:6" ht="12.75">
      <c r="A186" t="s">
        <v>84</v>
      </c>
      <c r="B186" s="6" t="s">
        <v>101</v>
      </c>
      <c r="C186" s="273">
        <v>5466</v>
      </c>
      <c r="D186">
        <v>4710</v>
      </c>
      <c r="E186">
        <v>5419</v>
      </c>
      <c r="F186" s="33">
        <f t="shared" si="2"/>
        <v>5466</v>
      </c>
    </row>
    <row r="187" spans="1:6" ht="12.75">
      <c r="A187" s="53" t="s">
        <v>229</v>
      </c>
      <c r="B187" s="55" t="s">
        <v>102</v>
      </c>
      <c r="C187" s="279">
        <v>0</v>
      </c>
      <c r="D187">
        <v>905.35872</v>
      </c>
      <c r="E187">
        <v>0</v>
      </c>
      <c r="F187" s="33">
        <f t="shared" si="2"/>
        <v>0</v>
      </c>
    </row>
    <row r="188" spans="1:6" ht="12.75">
      <c r="A188" t="s">
        <v>85</v>
      </c>
      <c r="B188" s="6" t="s">
        <v>103</v>
      </c>
      <c r="C188" s="273">
        <v>23235</v>
      </c>
      <c r="D188">
        <v>13360</v>
      </c>
      <c r="E188">
        <v>19926</v>
      </c>
      <c r="F188" s="33">
        <f t="shared" si="2"/>
        <v>23235</v>
      </c>
    </row>
    <row r="189" spans="1:6" ht="12.75">
      <c r="A189" s="53" t="s">
        <v>86</v>
      </c>
      <c r="B189" s="55" t="s">
        <v>252</v>
      </c>
      <c r="C189" s="279">
        <v>1911</v>
      </c>
      <c r="D189">
        <v>1100</v>
      </c>
      <c r="E189">
        <v>1201</v>
      </c>
      <c r="F189" s="33">
        <f t="shared" si="2"/>
        <v>1911</v>
      </c>
    </row>
    <row r="190" spans="1:6" ht="12.75">
      <c r="A190" t="s">
        <v>87</v>
      </c>
      <c r="B190" s="6" t="s">
        <v>104</v>
      </c>
      <c r="C190" s="273">
        <v>3791</v>
      </c>
      <c r="D190">
        <v>3970</v>
      </c>
      <c r="E190">
        <v>3555</v>
      </c>
      <c r="F190" s="33">
        <f t="shared" si="2"/>
        <v>3791</v>
      </c>
    </row>
    <row r="191" spans="1:6" ht="12.75">
      <c r="A191" s="53" t="s">
        <v>88</v>
      </c>
      <c r="B191" s="55" t="s">
        <v>105</v>
      </c>
      <c r="C191" s="279">
        <v>19992</v>
      </c>
      <c r="D191">
        <v>19850</v>
      </c>
      <c r="E191">
        <v>23300</v>
      </c>
      <c r="F191" s="33">
        <f t="shared" si="2"/>
        <v>19992</v>
      </c>
    </row>
    <row r="192" spans="1:6" ht="12.75">
      <c r="A192" t="s">
        <v>89</v>
      </c>
      <c r="B192" s="6" t="s">
        <v>106</v>
      </c>
      <c r="C192" s="273">
        <v>173</v>
      </c>
      <c r="D192">
        <v>220</v>
      </c>
      <c r="E192">
        <v>163</v>
      </c>
      <c r="F192" s="33">
        <f t="shared" si="2"/>
        <v>173</v>
      </c>
    </row>
    <row r="193" spans="1:6" ht="12.75">
      <c r="A193" s="53" t="s">
        <v>90</v>
      </c>
      <c r="B193" s="55" t="s">
        <v>107</v>
      </c>
      <c r="C193" s="279">
        <v>262</v>
      </c>
      <c r="D193">
        <v>179.11552</v>
      </c>
      <c r="E193">
        <v>84</v>
      </c>
      <c r="F193" s="33">
        <f t="shared" si="2"/>
        <v>262</v>
      </c>
    </row>
    <row r="194" spans="1:6" ht="12.75">
      <c r="A194" t="s">
        <v>91</v>
      </c>
      <c r="B194" s="6" t="s">
        <v>108</v>
      </c>
      <c r="C194" s="273">
        <v>3436</v>
      </c>
      <c r="D194">
        <v>1087.4502400000001</v>
      </c>
      <c r="E194">
        <v>147</v>
      </c>
      <c r="F194" s="33">
        <f t="shared" si="2"/>
        <v>3436</v>
      </c>
    </row>
    <row r="195" spans="1:6" ht="12.75">
      <c r="A195" s="53" t="s">
        <v>92</v>
      </c>
      <c r="B195" s="55" t="s">
        <v>109</v>
      </c>
      <c r="C195" s="279">
        <v>1779</v>
      </c>
      <c r="D195">
        <v>21345.527439999998</v>
      </c>
      <c r="E195">
        <v>15019</v>
      </c>
      <c r="F195" s="33">
        <f t="shared" si="2"/>
        <v>1779</v>
      </c>
    </row>
    <row r="196" spans="1:6" ht="12.75">
      <c r="A196" s="53" t="s">
        <v>81</v>
      </c>
      <c r="B196" s="55" t="s">
        <v>110</v>
      </c>
      <c r="C196" s="279">
        <v>16980</v>
      </c>
      <c r="D196">
        <v>52394</v>
      </c>
      <c r="E196">
        <v>41964</v>
      </c>
      <c r="F196" s="33">
        <f t="shared" si="2"/>
        <v>16980</v>
      </c>
    </row>
    <row r="197" ht="12.75">
      <c r="F197" s="33"/>
    </row>
    <row r="198" spans="1:6" ht="12.75">
      <c r="A198" s="5" t="s">
        <v>111</v>
      </c>
      <c r="B198" s="14" t="s">
        <v>81</v>
      </c>
      <c r="F198" s="33"/>
    </row>
    <row r="199" spans="1:6" ht="12.75">
      <c r="A199" s="53" t="s">
        <v>80</v>
      </c>
      <c r="B199" s="54" t="s">
        <v>112</v>
      </c>
      <c r="C199" s="99">
        <v>0</v>
      </c>
      <c r="D199">
        <v>0</v>
      </c>
      <c r="E199">
        <v>0</v>
      </c>
      <c r="F199" s="33">
        <f aca="true" t="shared" si="3" ref="F199:F259">C199</f>
        <v>0</v>
      </c>
    </row>
    <row r="200" spans="1:6" ht="12.75">
      <c r="A200" t="s">
        <v>82</v>
      </c>
      <c r="B200" s="2" t="s">
        <v>113</v>
      </c>
      <c r="C200" s="100">
        <v>0</v>
      </c>
      <c r="D200">
        <v>0</v>
      </c>
      <c r="E200">
        <v>0</v>
      </c>
      <c r="F200" s="33">
        <f t="shared" si="3"/>
        <v>0</v>
      </c>
    </row>
    <row r="201" spans="1:6" ht="12.75">
      <c r="A201" s="53" t="s">
        <v>83</v>
      </c>
      <c r="B201" s="54" t="s">
        <v>114</v>
      </c>
      <c r="C201" s="99">
        <v>0</v>
      </c>
      <c r="D201">
        <v>0</v>
      </c>
      <c r="E201">
        <v>0</v>
      </c>
      <c r="F201" s="33">
        <f t="shared" si="3"/>
        <v>0</v>
      </c>
    </row>
    <row r="202" spans="1:6" ht="12.75">
      <c r="A202" t="s">
        <v>84</v>
      </c>
      <c r="B202" s="2" t="s">
        <v>115</v>
      </c>
      <c r="C202" s="100">
        <v>0</v>
      </c>
      <c r="D202">
        <v>0</v>
      </c>
      <c r="E202">
        <v>0</v>
      </c>
      <c r="F202" s="33">
        <f t="shared" si="3"/>
        <v>0</v>
      </c>
    </row>
    <row r="203" spans="1:6" ht="12.75">
      <c r="A203" s="53" t="s">
        <v>229</v>
      </c>
      <c r="B203" s="54" t="s">
        <v>116</v>
      </c>
      <c r="C203" s="99">
        <v>0</v>
      </c>
      <c r="D203">
        <v>0</v>
      </c>
      <c r="E203">
        <v>0</v>
      </c>
      <c r="F203" s="33">
        <f t="shared" si="3"/>
        <v>0</v>
      </c>
    </row>
    <row r="204" spans="1:6" ht="12.75">
      <c r="A204" t="s">
        <v>85</v>
      </c>
      <c r="B204" s="2" t="s">
        <v>117</v>
      </c>
      <c r="C204" s="100">
        <v>0</v>
      </c>
      <c r="D204">
        <v>0</v>
      </c>
      <c r="E204">
        <v>0</v>
      </c>
      <c r="F204" s="33">
        <f t="shared" si="3"/>
        <v>0</v>
      </c>
    </row>
    <row r="205" spans="1:6" ht="12.75">
      <c r="A205" s="53" t="s">
        <v>86</v>
      </c>
      <c r="B205" s="54" t="s">
        <v>118</v>
      </c>
      <c r="C205" s="99">
        <v>0</v>
      </c>
      <c r="D205">
        <v>0</v>
      </c>
      <c r="E205">
        <v>0</v>
      </c>
      <c r="F205" s="33">
        <f t="shared" si="3"/>
        <v>0</v>
      </c>
    </row>
    <row r="206" spans="1:6" ht="12.75">
      <c r="A206" t="s">
        <v>87</v>
      </c>
      <c r="B206" s="2" t="s">
        <v>119</v>
      </c>
      <c r="C206" s="100">
        <v>0</v>
      </c>
      <c r="D206">
        <v>0</v>
      </c>
      <c r="E206">
        <v>0</v>
      </c>
      <c r="F206" s="33">
        <f t="shared" si="3"/>
        <v>0</v>
      </c>
    </row>
    <row r="207" spans="1:6" ht="12.75">
      <c r="A207" s="53" t="s">
        <v>88</v>
      </c>
      <c r="B207" s="54" t="s">
        <v>120</v>
      </c>
      <c r="C207" s="99">
        <v>0</v>
      </c>
      <c r="D207">
        <v>0</v>
      </c>
      <c r="E207">
        <v>0</v>
      </c>
      <c r="F207" s="33">
        <f t="shared" si="3"/>
        <v>0</v>
      </c>
    </row>
    <row r="208" spans="1:6" ht="12.75">
      <c r="A208" t="s">
        <v>89</v>
      </c>
      <c r="B208" s="2" t="s">
        <v>121</v>
      </c>
      <c r="C208" s="100">
        <v>0</v>
      </c>
      <c r="D208">
        <v>0</v>
      </c>
      <c r="E208">
        <v>0</v>
      </c>
      <c r="F208" s="33">
        <f t="shared" si="3"/>
        <v>0</v>
      </c>
    </row>
    <row r="209" spans="1:6" ht="12.75">
      <c r="A209" s="53" t="s">
        <v>90</v>
      </c>
      <c r="B209" s="54" t="s">
        <v>122</v>
      </c>
      <c r="C209" s="99">
        <v>0</v>
      </c>
      <c r="D209">
        <v>0</v>
      </c>
      <c r="E209">
        <v>0</v>
      </c>
      <c r="F209" s="33">
        <f t="shared" si="3"/>
        <v>0</v>
      </c>
    </row>
    <row r="210" spans="1:6" ht="12.75">
      <c r="A210" t="s">
        <v>91</v>
      </c>
      <c r="B210" s="2" t="s">
        <v>123</v>
      </c>
      <c r="C210" s="100">
        <v>0</v>
      </c>
      <c r="D210">
        <v>0</v>
      </c>
      <c r="E210">
        <v>0</v>
      </c>
      <c r="F210" s="33">
        <f t="shared" si="3"/>
        <v>0</v>
      </c>
    </row>
    <row r="211" spans="1:6" ht="12.75">
      <c r="A211" s="53" t="s">
        <v>92</v>
      </c>
      <c r="B211" s="54" t="s">
        <v>124</v>
      </c>
      <c r="C211" s="99">
        <v>0</v>
      </c>
      <c r="D211">
        <v>0</v>
      </c>
      <c r="E211">
        <v>0</v>
      </c>
      <c r="F211" s="33">
        <f t="shared" si="3"/>
        <v>0</v>
      </c>
    </row>
    <row r="212" spans="3:6" ht="12.75">
      <c r="C212" s="100"/>
      <c r="F212" s="33"/>
    </row>
    <row r="213" spans="1:6" ht="12.75">
      <c r="A213" s="5" t="s">
        <v>125</v>
      </c>
      <c r="B213" s="14" t="s">
        <v>81</v>
      </c>
      <c r="C213" s="100"/>
      <c r="F213" s="33"/>
    </row>
    <row r="214" spans="1:6" ht="12.75">
      <c r="A214" s="53" t="s">
        <v>229</v>
      </c>
      <c r="B214" s="54" t="s">
        <v>126</v>
      </c>
      <c r="C214" s="279">
        <f>Fed_Reservoir!C10</f>
        <v>3429.5077083333335</v>
      </c>
      <c r="D214">
        <v>3375</v>
      </c>
      <c r="E214">
        <v>3158.1</v>
      </c>
      <c r="F214" s="33">
        <f t="shared" si="3"/>
        <v>3429.5077083333335</v>
      </c>
    </row>
    <row r="215" spans="1:6" ht="12.75">
      <c r="A215" s="53" t="s">
        <v>81</v>
      </c>
      <c r="B215" s="54" t="s">
        <v>127</v>
      </c>
      <c r="C215" s="279">
        <f>Fed_Reservoir!B27</f>
        <v>-1500</v>
      </c>
      <c r="D215">
        <v>-2226</v>
      </c>
      <c r="E215">
        <v>-2900</v>
      </c>
      <c r="F215" s="33">
        <f t="shared" si="3"/>
        <v>-1500</v>
      </c>
    </row>
    <row r="216" spans="1:6" ht="12.75">
      <c r="A216" t="s">
        <v>85</v>
      </c>
      <c r="B216" s="9" t="s">
        <v>128</v>
      </c>
      <c r="C216" s="273">
        <f>Fed_Reservoir!C5</f>
        <v>1247.6069166666668</v>
      </c>
      <c r="D216">
        <v>1485</v>
      </c>
      <c r="E216">
        <v>966.6</v>
      </c>
      <c r="F216" s="33">
        <f t="shared" si="3"/>
        <v>1247.6069166666668</v>
      </c>
    </row>
    <row r="217" spans="1:6" ht="12.75">
      <c r="B217" s="9" t="s">
        <v>129</v>
      </c>
      <c r="C217" s="273">
        <f>Fed_Reservoir!B22</f>
        <v>0</v>
      </c>
      <c r="D217">
        <v>-218</v>
      </c>
      <c r="E217">
        <v>300</v>
      </c>
      <c r="F217" s="33">
        <f t="shared" si="3"/>
        <v>0</v>
      </c>
    </row>
    <row r="218" spans="1:6" ht="12.75">
      <c r="A218" s="53" t="s">
        <v>87</v>
      </c>
      <c r="B218" s="54" t="s">
        <v>130</v>
      </c>
      <c r="C218" s="279">
        <f>Fed_Reservoir!C8</f>
        <v>2230.2614166666667</v>
      </c>
      <c r="D218">
        <v>2377</v>
      </c>
      <c r="E218">
        <v>2025.5</v>
      </c>
      <c r="F218" s="33">
        <f t="shared" si="3"/>
        <v>2230.2614166666667</v>
      </c>
    </row>
    <row r="219" spans="1:6" ht="12.75">
      <c r="A219" s="53" t="s">
        <v>81</v>
      </c>
      <c r="B219" s="54" t="s">
        <v>131</v>
      </c>
      <c r="C219" s="279">
        <f>Fed_Reservoir!B25</f>
        <v>1800</v>
      </c>
      <c r="D219">
        <v>2947</v>
      </c>
      <c r="E219">
        <v>2800</v>
      </c>
      <c r="F219" s="33">
        <f t="shared" si="3"/>
        <v>1800</v>
      </c>
    </row>
    <row r="220" spans="1:6" ht="12.75">
      <c r="A220" s="17" t="s">
        <v>88</v>
      </c>
      <c r="B220" s="9" t="s">
        <v>132</v>
      </c>
      <c r="C220" s="273">
        <f>Fed_Reservoir!C7</f>
        <v>2771.705791666667</v>
      </c>
      <c r="D220">
        <v>3755</v>
      </c>
      <c r="E220">
        <v>2058.9</v>
      </c>
      <c r="F220" s="33">
        <f t="shared" si="3"/>
        <v>2771.705791666667</v>
      </c>
    </row>
    <row r="221" spans="1:6" ht="12.75">
      <c r="A221" s="17" t="s">
        <v>81</v>
      </c>
      <c r="B221" s="9" t="s">
        <v>133</v>
      </c>
      <c r="C221" s="273">
        <f>Fed_Reservoir!B24</f>
        <v>5600</v>
      </c>
      <c r="D221">
        <v>3385</v>
      </c>
      <c r="E221">
        <v>-300</v>
      </c>
      <c r="F221" s="33">
        <f t="shared" si="3"/>
        <v>5600</v>
      </c>
    </row>
    <row r="222" spans="1:6" ht="12.75">
      <c r="A222" s="53" t="s">
        <v>91</v>
      </c>
      <c r="B222" s="54" t="s">
        <v>134</v>
      </c>
      <c r="C222" s="279">
        <f>Fed_Reservoir!C11</f>
        <v>1727.0067916666667</v>
      </c>
      <c r="D222">
        <v>2823</v>
      </c>
      <c r="E222">
        <v>2088.8</v>
      </c>
      <c r="F222" s="33">
        <f t="shared" si="3"/>
        <v>1727.0067916666667</v>
      </c>
    </row>
    <row r="223" spans="1:6" ht="12.75">
      <c r="A223" s="53" t="s">
        <v>81</v>
      </c>
      <c r="B223" s="54" t="s">
        <v>135</v>
      </c>
      <c r="C223" s="279">
        <f>Fed_Reservoir!B28</f>
        <v>100.00000000000142</v>
      </c>
      <c r="D223">
        <v>-4338</v>
      </c>
      <c r="E223">
        <v>-1000</v>
      </c>
      <c r="F223" s="33">
        <f t="shared" si="3"/>
        <v>100.00000000000142</v>
      </c>
    </row>
    <row r="224" spans="1:6" ht="12.75">
      <c r="A224" s="17" t="s">
        <v>92</v>
      </c>
      <c r="B224" s="9" t="s">
        <v>136</v>
      </c>
      <c r="C224" s="273">
        <f>Fed_Reservoir!C9</f>
        <v>5637.999291666667</v>
      </c>
      <c r="D224">
        <v>6086</v>
      </c>
      <c r="E224">
        <v>2588.2</v>
      </c>
      <c r="F224" s="33">
        <f t="shared" si="3"/>
        <v>5637.999291666667</v>
      </c>
    </row>
    <row r="225" spans="1:6" ht="12.75">
      <c r="A225" s="17" t="s">
        <v>81</v>
      </c>
      <c r="B225" s="9" t="s">
        <v>137</v>
      </c>
      <c r="C225" s="273">
        <f>Fed_Reservoir!B26</f>
        <v>4600</v>
      </c>
      <c r="D225">
        <v>4735</v>
      </c>
      <c r="E225">
        <v>3900</v>
      </c>
      <c r="F225" s="33">
        <f t="shared" si="3"/>
        <v>4600</v>
      </c>
    </row>
    <row r="226" spans="1:6" ht="12.75">
      <c r="A226" s="17" t="s">
        <v>81</v>
      </c>
      <c r="B226" s="9" t="s">
        <v>138</v>
      </c>
      <c r="C226" s="273">
        <f>Fed_Reservoir!C6</f>
        <v>17706.291625</v>
      </c>
      <c r="D226">
        <v>23664</v>
      </c>
      <c r="E226">
        <v>17017</v>
      </c>
      <c r="F226" s="33">
        <f t="shared" si="3"/>
        <v>17706.291625</v>
      </c>
    </row>
    <row r="227" spans="1:6" ht="12.75">
      <c r="A227" s="17" t="s">
        <v>81</v>
      </c>
      <c r="B227" s="9" t="s">
        <v>139</v>
      </c>
      <c r="C227" s="273">
        <f>Fed_Reservoir!B23</f>
        <v>21000</v>
      </c>
      <c r="D227">
        <v>-47110</v>
      </c>
      <c r="E227">
        <v>-6200</v>
      </c>
      <c r="F227" s="33">
        <f t="shared" si="3"/>
        <v>21000</v>
      </c>
    </row>
    <row r="228" spans="1:6" ht="12.75">
      <c r="A228" s="17" t="s">
        <v>81</v>
      </c>
      <c r="B228" s="9" t="s">
        <v>433</v>
      </c>
      <c r="C228" s="100">
        <v>2020</v>
      </c>
      <c r="D228">
        <v>670</v>
      </c>
      <c r="E228">
        <v>1110</v>
      </c>
      <c r="F228" s="33">
        <f t="shared" si="3"/>
        <v>2020</v>
      </c>
    </row>
    <row r="229" ht="12.75">
      <c r="F229" s="33"/>
    </row>
    <row r="230" spans="1:6" ht="12.75">
      <c r="A230" s="5" t="s">
        <v>140</v>
      </c>
      <c r="B230" s="14" t="s">
        <v>81</v>
      </c>
      <c r="F230" s="33"/>
    </row>
    <row r="231" spans="1:6" ht="12.75">
      <c r="A231" s="53" t="s">
        <v>80</v>
      </c>
      <c r="B231" s="54" t="s">
        <v>141</v>
      </c>
      <c r="C231" s="99">
        <v>2423</v>
      </c>
      <c r="D231">
        <v>1948</v>
      </c>
      <c r="E231">
        <v>2072</v>
      </c>
      <c r="F231" s="33">
        <f t="shared" si="3"/>
        <v>2423</v>
      </c>
    </row>
    <row r="232" spans="1:6" ht="12.75">
      <c r="A232" s="53" t="s">
        <v>81</v>
      </c>
      <c r="B232" s="54" t="s">
        <v>142</v>
      </c>
      <c r="C232" s="279">
        <v>4745</v>
      </c>
      <c r="D232">
        <v>4965</v>
      </c>
      <c r="E232">
        <v>3732</v>
      </c>
      <c r="F232" s="33">
        <f t="shared" si="3"/>
        <v>4745</v>
      </c>
    </row>
    <row r="233" spans="1:6" ht="12.75">
      <c r="A233" s="53" t="s">
        <v>81</v>
      </c>
      <c r="B233" s="54" t="s">
        <v>143</v>
      </c>
      <c r="C233" s="202">
        <f>SUM(C231:C232)</f>
        <v>7168</v>
      </c>
      <c r="D233">
        <v>6913</v>
      </c>
      <c r="E233">
        <v>5804</v>
      </c>
      <c r="F233" s="33">
        <f t="shared" si="3"/>
        <v>7168</v>
      </c>
    </row>
    <row r="234" spans="1:6" ht="12.75">
      <c r="A234" s="17" t="s">
        <v>229</v>
      </c>
      <c r="B234" s="9" t="s">
        <v>144</v>
      </c>
      <c r="C234" s="100">
        <v>0</v>
      </c>
      <c r="D234">
        <v>0</v>
      </c>
      <c r="E234">
        <v>0</v>
      </c>
      <c r="F234" s="33">
        <f t="shared" si="3"/>
        <v>0</v>
      </c>
    </row>
    <row r="235" spans="1:6" ht="12.75">
      <c r="A235" s="53" t="s">
        <v>85</v>
      </c>
      <c r="B235" s="54" t="s">
        <v>145</v>
      </c>
      <c r="C235" s="99">
        <v>0</v>
      </c>
      <c r="D235">
        <v>0</v>
      </c>
      <c r="E235">
        <v>0</v>
      </c>
      <c r="F235" s="33">
        <f t="shared" si="3"/>
        <v>0</v>
      </c>
    </row>
    <row r="236" spans="1:6" ht="12.75">
      <c r="A236" s="53" t="s">
        <v>81</v>
      </c>
      <c r="B236" s="54" t="s">
        <v>146</v>
      </c>
      <c r="C236" s="279">
        <v>2096</v>
      </c>
      <c r="D236">
        <v>1838</v>
      </c>
      <c r="E236">
        <v>1443</v>
      </c>
      <c r="F236" s="33">
        <f t="shared" si="3"/>
        <v>2096</v>
      </c>
    </row>
    <row r="237" spans="1:6" ht="12.75">
      <c r="A237" s="53" t="s">
        <v>81</v>
      </c>
      <c r="B237" s="54" t="s">
        <v>147</v>
      </c>
      <c r="C237" s="279">
        <f>Attachment7!B17</f>
        <v>6562</v>
      </c>
      <c r="D237">
        <v>8002</v>
      </c>
      <c r="E237">
        <v>8674</v>
      </c>
      <c r="F237" s="33">
        <f t="shared" si="3"/>
        <v>6562</v>
      </c>
    </row>
    <row r="238" spans="1:6" ht="12.75">
      <c r="A238" s="53" t="s">
        <v>81</v>
      </c>
      <c r="B238" s="54" t="s">
        <v>148</v>
      </c>
      <c r="C238" s="99">
        <f>Attachment7!B18</f>
        <v>0</v>
      </c>
      <c r="D238">
        <v>0</v>
      </c>
      <c r="E238">
        <v>0</v>
      </c>
      <c r="F238" s="33">
        <f t="shared" si="3"/>
        <v>0</v>
      </c>
    </row>
    <row r="239" spans="1:6" ht="12.75">
      <c r="A239" s="53" t="s">
        <v>81</v>
      </c>
      <c r="B239" s="54" t="s">
        <v>149</v>
      </c>
      <c r="C239" s="216">
        <f>Attachment7!K17</f>
        <v>0.7808994209082596</v>
      </c>
      <c r="D239">
        <v>0.56</v>
      </c>
      <c r="E239">
        <v>0.658467373760664</v>
      </c>
      <c r="F239" s="33">
        <f t="shared" si="3"/>
        <v>0.7808994209082596</v>
      </c>
    </row>
    <row r="240" spans="1:6" ht="12.75">
      <c r="A240" s="53" t="s">
        <v>81</v>
      </c>
      <c r="B240" s="54" t="s">
        <v>150</v>
      </c>
      <c r="C240" s="220">
        <f>Attachment7!K18</f>
        <v>1</v>
      </c>
      <c r="D240">
        <v>1</v>
      </c>
      <c r="E240">
        <v>1</v>
      </c>
      <c r="F240" s="33">
        <f t="shared" si="3"/>
        <v>1</v>
      </c>
    </row>
    <row r="241" spans="1:6" ht="12.75">
      <c r="A241" s="17" t="s">
        <v>86</v>
      </c>
      <c r="B241" s="9" t="s">
        <v>151</v>
      </c>
      <c r="C241" s="100">
        <f>Attachment7!B19</f>
        <v>0</v>
      </c>
      <c r="D241">
        <v>0</v>
      </c>
      <c r="E241">
        <v>0</v>
      </c>
      <c r="F241" s="33">
        <f t="shared" si="3"/>
        <v>0</v>
      </c>
    </row>
    <row r="242" spans="1:6" ht="12.75">
      <c r="A242" s="17" t="s">
        <v>81</v>
      </c>
      <c r="B242" s="9" t="s">
        <v>152</v>
      </c>
      <c r="C242" s="221">
        <f>Attachment7!K19</f>
        <v>1</v>
      </c>
      <c r="D242">
        <v>1</v>
      </c>
      <c r="E242">
        <v>1</v>
      </c>
      <c r="F242" s="33">
        <f t="shared" si="3"/>
        <v>1</v>
      </c>
    </row>
    <row r="243" spans="1:6" ht="12.75">
      <c r="A243" s="53" t="s">
        <v>87</v>
      </c>
      <c r="B243" s="54" t="s">
        <v>153</v>
      </c>
      <c r="C243" s="99">
        <f>Attachment7!B20</f>
        <v>0</v>
      </c>
      <c r="D243">
        <v>0</v>
      </c>
      <c r="E243">
        <v>0</v>
      </c>
      <c r="F243" s="33">
        <f t="shared" si="3"/>
        <v>0</v>
      </c>
    </row>
    <row r="244" spans="1:6" ht="12.75">
      <c r="A244" s="53" t="s">
        <v>81</v>
      </c>
      <c r="B244" s="54" t="s">
        <v>154</v>
      </c>
      <c r="C244" s="220">
        <f>Attachment7!K20</f>
        <v>1</v>
      </c>
      <c r="D244">
        <v>1</v>
      </c>
      <c r="E244">
        <v>1</v>
      </c>
      <c r="F244" s="33">
        <f t="shared" si="3"/>
        <v>1</v>
      </c>
    </row>
    <row r="245" spans="1:6" ht="12.75">
      <c r="A245" t="s">
        <v>91</v>
      </c>
      <c r="B245" s="9" t="s">
        <v>279</v>
      </c>
      <c r="C245" s="100">
        <f>Attachment7!B26</f>
        <v>0</v>
      </c>
      <c r="D245">
        <v>3379</v>
      </c>
      <c r="E245">
        <v>0</v>
      </c>
      <c r="F245" s="33">
        <f t="shared" si="3"/>
        <v>0</v>
      </c>
    </row>
    <row r="246" spans="1:6" ht="12.75">
      <c r="B246" s="9" t="s">
        <v>280</v>
      </c>
      <c r="C246" s="217">
        <f>Attachment7!K26</f>
        <v>1</v>
      </c>
      <c r="D246">
        <v>0.52</v>
      </c>
      <c r="E246">
        <v>1</v>
      </c>
      <c r="F246" s="33">
        <f t="shared" si="3"/>
        <v>1</v>
      </c>
    </row>
    <row r="247" spans="1:6" ht="12.75">
      <c r="A247" s="53" t="s">
        <v>92</v>
      </c>
      <c r="B247" s="54" t="s">
        <v>155</v>
      </c>
      <c r="C247" s="99">
        <f>Attachment7!B21</f>
        <v>0</v>
      </c>
      <c r="D247">
        <v>0</v>
      </c>
      <c r="E247">
        <v>0</v>
      </c>
      <c r="F247" s="33">
        <f t="shared" si="3"/>
        <v>0</v>
      </c>
    </row>
    <row r="248" spans="1:6" ht="12.75">
      <c r="A248" s="223"/>
      <c r="B248" s="54" t="s">
        <v>165</v>
      </c>
      <c r="C248" s="216">
        <f>Attachment7!K21</f>
        <v>1</v>
      </c>
      <c r="D248">
        <v>1</v>
      </c>
      <c r="E248">
        <v>1</v>
      </c>
      <c r="F248" s="33">
        <f t="shared" si="3"/>
        <v>1</v>
      </c>
    </row>
    <row r="249" spans="1:6" ht="12.75">
      <c r="A249" s="223" t="s">
        <v>81</v>
      </c>
      <c r="B249" s="54" t="s">
        <v>156</v>
      </c>
      <c r="C249" s="279">
        <f>Attachment7!B22</f>
        <v>19732</v>
      </c>
      <c r="D249">
        <v>18332</v>
      </c>
      <c r="E249">
        <v>21964</v>
      </c>
      <c r="F249" s="33">
        <f t="shared" si="3"/>
        <v>19732</v>
      </c>
    </row>
    <row r="250" spans="1:6" ht="12.75">
      <c r="A250" s="223"/>
      <c r="B250" s="54" t="s">
        <v>166</v>
      </c>
      <c r="C250" s="216">
        <f>Attachment7!K22</f>
        <v>0.5361416987634299</v>
      </c>
      <c r="D250">
        <v>0.51</v>
      </c>
      <c r="E250">
        <v>0.5245849572026954</v>
      </c>
      <c r="F250" s="33">
        <f t="shared" si="3"/>
        <v>0.5361416987634299</v>
      </c>
    </row>
    <row r="251" spans="1:6" ht="12.75">
      <c r="A251" s="223" t="s">
        <v>81</v>
      </c>
      <c r="B251" s="54" t="s">
        <v>157</v>
      </c>
      <c r="C251" s="99">
        <f>Attachment7!B23</f>
        <v>0</v>
      </c>
      <c r="D251">
        <v>2162</v>
      </c>
      <c r="E251">
        <v>0</v>
      </c>
      <c r="F251" s="33">
        <f t="shared" si="3"/>
        <v>0</v>
      </c>
    </row>
    <row r="252" spans="1:6" ht="12.75">
      <c r="A252" s="223"/>
      <c r="B252" s="54" t="s">
        <v>167</v>
      </c>
      <c r="C252" s="216">
        <f>Attachment7!K23</f>
        <v>1</v>
      </c>
      <c r="D252">
        <v>0.53</v>
      </c>
      <c r="E252">
        <v>1</v>
      </c>
      <c r="F252" s="33">
        <f t="shared" si="3"/>
        <v>1</v>
      </c>
    </row>
    <row r="253" spans="1:6" ht="12.75">
      <c r="A253" s="223" t="s">
        <v>81</v>
      </c>
      <c r="B253" s="54" t="s">
        <v>158</v>
      </c>
      <c r="C253" s="99">
        <f>Attachment7!B24</f>
        <v>0</v>
      </c>
      <c r="D253">
        <v>15262</v>
      </c>
      <c r="E253">
        <v>0</v>
      </c>
      <c r="F253" s="33">
        <f t="shared" si="3"/>
        <v>0</v>
      </c>
    </row>
    <row r="254" spans="1:6" ht="12.75">
      <c r="A254" s="223"/>
      <c r="B254" s="54" t="s">
        <v>168</v>
      </c>
      <c r="C254" s="216">
        <f>Attachment7!K24</f>
        <v>1</v>
      </c>
      <c r="D254">
        <v>0.64</v>
      </c>
      <c r="E254">
        <v>1</v>
      </c>
      <c r="F254" s="33">
        <f t="shared" si="3"/>
        <v>1</v>
      </c>
    </row>
    <row r="255" spans="1:6" ht="12.75">
      <c r="A255" s="223" t="s">
        <v>81</v>
      </c>
      <c r="B255" s="54" t="s">
        <v>159</v>
      </c>
      <c r="C255" s="99">
        <f>Attachment7!B25</f>
        <v>0</v>
      </c>
      <c r="D255">
        <v>1687</v>
      </c>
      <c r="E255">
        <v>0</v>
      </c>
      <c r="F255" s="33">
        <f t="shared" si="3"/>
        <v>0</v>
      </c>
    </row>
    <row r="256" spans="1:6" ht="12.75">
      <c r="A256" s="223"/>
      <c r="B256" s="54" t="s">
        <v>169</v>
      </c>
      <c r="C256" s="216">
        <f>Attachment7!K25</f>
        <v>1</v>
      </c>
      <c r="D256">
        <v>0.57</v>
      </c>
      <c r="E256">
        <v>1</v>
      </c>
      <c r="F256" s="33">
        <f t="shared" si="3"/>
        <v>1</v>
      </c>
    </row>
    <row r="257" spans="1:6" ht="12.75">
      <c r="A257" s="223" t="s">
        <v>81</v>
      </c>
      <c r="B257" s="54" t="s">
        <v>160</v>
      </c>
      <c r="C257" s="279">
        <f>Attachment7!B27</f>
        <v>4712</v>
      </c>
      <c r="D257">
        <v>8174</v>
      </c>
      <c r="E257">
        <v>5800</v>
      </c>
      <c r="F257" s="33">
        <f t="shared" si="3"/>
        <v>4712</v>
      </c>
    </row>
    <row r="258" spans="1:6" ht="12.75">
      <c r="A258" s="223"/>
      <c r="B258" s="54" t="s">
        <v>170</v>
      </c>
      <c r="C258" s="216">
        <f>Attachment7!K27</f>
        <v>0.6419266977928691</v>
      </c>
      <c r="D258">
        <v>0.57</v>
      </c>
      <c r="E258">
        <v>0.6778671379310345</v>
      </c>
      <c r="F258" s="33">
        <f t="shared" si="3"/>
        <v>0.6419266977928691</v>
      </c>
    </row>
    <row r="259" spans="1:6" ht="12.75">
      <c r="A259" s="223"/>
      <c r="B259" s="54"/>
      <c r="C259" s="54"/>
      <c r="F259" s="33">
        <f t="shared" si="3"/>
        <v>0</v>
      </c>
    </row>
    <row r="260" spans="1:6" ht="12.75">
      <c r="A260" s="223" t="s">
        <v>81</v>
      </c>
      <c r="B260" s="54" t="s">
        <v>161</v>
      </c>
      <c r="C260" s="202">
        <f>CourtlandAvLove!B28</f>
        <v>48737</v>
      </c>
      <c r="D260">
        <v>66500</v>
      </c>
      <c r="E260">
        <v>31501</v>
      </c>
      <c r="F260" s="33">
        <f aca="true" t="shared" si="4" ref="F260:F275">C260</f>
        <v>48737</v>
      </c>
    </row>
    <row r="261" spans="1:6" ht="12.75">
      <c r="A261" s="223"/>
      <c r="B261" s="158" t="s">
        <v>453</v>
      </c>
      <c r="C261" s="99">
        <f>CourtlandAvLove!P28</f>
        <v>0</v>
      </c>
      <c r="D261">
        <v>1591</v>
      </c>
      <c r="E261">
        <v>0</v>
      </c>
      <c r="F261" s="33">
        <f t="shared" si="4"/>
        <v>0</v>
      </c>
    </row>
    <row r="262" spans="1:6" ht="12.75">
      <c r="A262" s="223"/>
      <c r="B262" s="54" t="s">
        <v>454</v>
      </c>
      <c r="C262" s="216">
        <f>Attachment7!K28</f>
        <v>1</v>
      </c>
      <c r="D262">
        <v>0.3259126335637964</v>
      </c>
      <c r="E262">
        <v>1</v>
      </c>
      <c r="F262" s="33">
        <f t="shared" si="4"/>
        <v>1</v>
      </c>
    </row>
    <row r="263" spans="1:6" ht="12.75">
      <c r="A263" s="223"/>
      <c r="B263" s="54" t="s">
        <v>455</v>
      </c>
      <c r="C263" s="99">
        <f>CourtlandAvLove!L28</f>
        <v>415</v>
      </c>
      <c r="D263">
        <v>2841</v>
      </c>
      <c r="E263">
        <v>184</v>
      </c>
      <c r="F263" s="33">
        <f t="shared" si="4"/>
        <v>415</v>
      </c>
    </row>
    <row r="264" spans="1:6" ht="12.75">
      <c r="A264" s="223"/>
      <c r="B264" s="54" t="s">
        <v>456</v>
      </c>
      <c r="C264" s="99">
        <f>CourtlandAvLove!M28</f>
        <v>8236</v>
      </c>
      <c r="D264">
        <v>10116</v>
      </c>
      <c r="E264">
        <v>5877</v>
      </c>
      <c r="F264" s="33">
        <f t="shared" si="4"/>
        <v>8236</v>
      </c>
    </row>
    <row r="265" spans="1:9" ht="12.75">
      <c r="A265" s="223" t="s">
        <v>81</v>
      </c>
      <c r="B265" s="54" t="s">
        <v>162</v>
      </c>
      <c r="C265" s="202">
        <f>CourtlandAvLove!C28</f>
        <v>40086</v>
      </c>
      <c r="D265">
        <v>51952</v>
      </c>
      <c r="E265">
        <v>25440</v>
      </c>
      <c r="F265" s="33">
        <f t="shared" si="4"/>
        <v>40086</v>
      </c>
      <c r="I265" s="17"/>
    </row>
    <row r="266" spans="1:9" ht="12.75">
      <c r="A266" s="223"/>
      <c r="B266" s="54" t="s">
        <v>450</v>
      </c>
      <c r="C266" s="99">
        <f>CourtlandAvLove!Q28</f>
        <v>1864</v>
      </c>
      <c r="D266">
        <v>17511</v>
      </c>
      <c r="E266">
        <v>779</v>
      </c>
      <c r="F266" s="33">
        <f t="shared" si="4"/>
        <v>1864</v>
      </c>
      <c r="I266" s="17"/>
    </row>
    <row r="267" spans="1:9" ht="12.75">
      <c r="A267" s="223"/>
      <c r="B267" s="54" t="s">
        <v>171</v>
      </c>
      <c r="C267" s="218">
        <f>Attachment7!K29</f>
        <v>0.629970278969957</v>
      </c>
      <c r="D267">
        <v>0.5180198161155845</v>
      </c>
      <c r="E267">
        <v>0.7921782129742961</v>
      </c>
      <c r="F267" s="33">
        <f t="shared" si="4"/>
        <v>0.629970278969957</v>
      </c>
      <c r="I267" s="17"/>
    </row>
    <row r="268" spans="1:9" ht="12.75">
      <c r="A268" s="223"/>
      <c r="B268" s="54" t="s">
        <v>457</v>
      </c>
      <c r="C268" s="202">
        <f>CourtlandAvLove!O28</f>
        <v>9372</v>
      </c>
      <c r="D268">
        <v>10687</v>
      </c>
      <c r="E268">
        <v>10715</v>
      </c>
      <c r="F268" s="33">
        <f t="shared" si="4"/>
        <v>9372</v>
      </c>
      <c r="I268" s="17"/>
    </row>
    <row r="269" spans="1:6" ht="12.75">
      <c r="A269" s="223" t="s">
        <v>81</v>
      </c>
      <c r="B269" s="54" t="s">
        <v>163</v>
      </c>
      <c r="C269" s="202">
        <f>CourtlandAvLove!H28</f>
        <v>29265</v>
      </c>
      <c r="D269">
        <v>26596</v>
      </c>
      <c r="E269">
        <v>14130</v>
      </c>
      <c r="F269" s="33">
        <f t="shared" si="4"/>
        <v>29265</v>
      </c>
    </row>
    <row r="270" spans="1:6" ht="12.75">
      <c r="A270" s="223" t="s">
        <v>81</v>
      </c>
      <c r="B270" s="54" t="s">
        <v>459</v>
      </c>
      <c r="C270" s="99">
        <v>25590</v>
      </c>
      <c r="D270">
        <v>21270</v>
      </c>
      <c r="E270">
        <v>25590</v>
      </c>
      <c r="F270" s="33">
        <f t="shared" si="4"/>
        <v>25590</v>
      </c>
    </row>
    <row r="271" spans="1:6" ht="12.75">
      <c r="A271" s="223"/>
      <c r="B271" s="54" t="s">
        <v>172</v>
      </c>
      <c r="C271" s="205">
        <f>Attachment7!K30</f>
        <v>0.5266655348047539</v>
      </c>
      <c r="D271">
        <v>0.4566515194068415</v>
      </c>
      <c r="E271">
        <v>0.49614925333510324</v>
      </c>
      <c r="F271" s="33">
        <f t="shared" si="4"/>
        <v>0.5266655348047539</v>
      </c>
    </row>
    <row r="272" spans="1:6" ht="12.75">
      <c r="A272" s="223"/>
      <c r="B272" s="54"/>
      <c r="C272" s="101"/>
      <c r="F272" s="33"/>
    </row>
    <row r="273" spans="1:6" ht="12.75">
      <c r="A273" s="223"/>
      <c r="B273" s="159" t="s">
        <v>458</v>
      </c>
      <c r="C273" s="101"/>
      <c r="F273" s="33"/>
    </row>
    <row r="274" spans="1:6" ht="12.75">
      <c r="A274" s="223" t="s">
        <v>81</v>
      </c>
      <c r="B274" s="54" t="s">
        <v>543</v>
      </c>
      <c r="C274" s="99">
        <f>Fed_Reservoir!B38</f>
        <v>41081</v>
      </c>
      <c r="D274">
        <v>27100</v>
      </c>
      <c r="E274">
        <v>41081</v>
      </c>
      <c r="F274" s="33">
        <f t="shared" si="4"/>
        <v>41081</v>
      </c>
    </row>
    <row r="275" spans="1:6" ht="12.75">
      <c r="A275" s="223" t="s">
        <v>81</v>
      </c>
      <c r="B275" s="54" t="s">
        <v>544</v>
      </c>
      <c r="C275" s="99">
        <f>Fed_Reservoir!C38</f>
        <v>40187</v>
      </c>
      <c r="D275">
        <v>28844</v>
      </c>
      <c r="E275">
        <v>40187</v>
      </c>
      <c r="F275" s="33">
        <f t="shared" si="4"/>
        <v>40187</v>
      </c>
    </row>
  </sheetData>
  <sheetProtection/>
  <printOptions headings="1"/>
  <pageMargins left="0.75" right="0.75" top="0.75" bottom="0.75" header="0.25" footer="0.5"/>
  <pageSetup fitToHeight="4" fitToWidth="1" horizontalDpi="600" verticalDpi="600" orientation="portrait" paperSize="3" scale="73" r:id="rId1"/>
  <headerFooter alignWithMargins="0">
    <oddHeader>&amp;LRRCA
Compact Accounting&amp;C&amp;A&amp;RPage &amp;P of &amp;N</oddHeader>
  </headerFooter>
  <rowBreaks count="2" manualBreakCount="2">
    <brk id="132" max="3" man="1"/>
    <brk id="212" max="3" man="1"/>
  </rowBreaks>
</worksheet>
</file>

<file path=xl/worksheets/sheet20.xml><?xml version="1.0" encoding="utf-8"?>
<worksheet xmlns="http://schemas.openxmlformats.org/spreadsheetml/2006/main" xmlns:r="http://schemas.openxmlformats.org/officeDocument/2006/relationships">
  <sheetPr codeName="Sheet20">
    <pageSetUpPr fitToPage="1"/>
  </sheetPr>
  <dimension ref="A1:E8"/>
  <sheetViews>
    <sheetView workbookViewId="0" topLeftCell="A1">
      <selection activeCell="C15" sqref="C15"/>
    </sheetView>
  </sheetViews>
  <sheetFormatPr defaultColWidth="9.140625" defaultRowHeight="12.75"/>
  <cols>
    <col min="2" max="5" width="20.7109375" style="0" customWidth="1"/>
  </cols>
  <sheetData>
    <row r="1" spans="1:5" ht="12.75">
      <c r="A1" s="340" t="s">
        <v>51</v>
      </c>
      <c r="B1" s="340"/>
      <c r="C1" s="340"/>
      <c r="D1" s="340"/>
      <c r="E1" s="340"/>
    </row>
    <row r="2" spans="1:5" ht="39.75" customHeight="1">
      <c r="A2" s="39" t="s">
        <v>34</v>
      </c>
      <c r="B2" s="39" t="s">
        <v>48</v>
      </c>
      <c r="C2" s="39" t="s">
        <v>49</v>
      </c>
      <c r="D2" s="39" t="s">
        <v>50</v>
      </c>
      <c r="E2" s="200" t="s">
        <v>475</v>
      </c>
    </row>
    <row r="3" spans="1:5" ht="19.5" customHeight="1">
      <c r="A3" s="40">
        <f>'T1'!B27</f>
        <v>2003</v>
      </c>
      <c r="B3" s="44">
        <f>'T1'!D47-'T1'!D41</f>
        <v>21160</v>
      </c>
      <c r="C3" s="44">
        <f>'T1'!H45-'T1'!H41</f>
        <v>33470</v>
      </c>
      <c r="D3" s="197" t="s">
        <v>364</v>
      </c>
      <c r="E3" s="318">
        <f>+B3-C3</f>
        <v>-12310</v>
      </c>
    </row>
    <row r="4" spans="1:5" ht="19.5" customHeight="1">
      <c r="A4" s="40">
        <f>A3+1</f>
        <v>2004</v>
      </c>
      <c r="B4" s="44">
        <f>'T1'!D69-'T1'!D63</f>
        <v>21180</v>
      </c>
      <c r="C4" s="44">
        <f>'T1'!H69-'T1'!H63</f>
        <v>33670</v>
      </c>
      <c r="D4" s="197" t="s">
        <v>364</v>
      </c>
      <c r="E4" s="318">
        <f>+B4-C4</f>
        <v>-12490</v>
      </c>
    </row>
    <row r="5" spans="1:5" ht="19.5" customHeight="1">
      <c r="A5" s="40">
        <f>A4+1</f>
        <v>2005</v>
      </c>
      <c r="B5" s="44">
        <f>'T1'!D91-'T1'!D85</f>
        <v>24130</v>
      </c>
      <c r="C5" s="44">
        <f>'T1'!H91-'T1'!H85</f>
        <v>35460</v>
      </c>
      <c r="D5" s="197" t="s">
        <v>364</v>
      </c>
      <c r="E5" s="318">
        <f>+B5-C5</f>
        <v>-11330</v>
      </c>
    </row>
    <row r="6" spans="1:5" ht="19.5" customHeight="1">
      <c r="A6" s="40">
        <f>A5+1</f>
        <v>2006</v>
      </c>
      <c r="B6" s="44"/>
      <c r="C6" s="44"/>
      <c r="D6" s="197" t="s">
        <v>364</v>
      </c>
      <c r="E6" s="318"/>
    </row>
    <row r="7" spans="1:5" ht="19.5" customHeight="1" thickBot="1">
      <c r="A7" s="40">
        <f>A6+1</f>
        <v>2007</v>
      </c>
      <c r="B7" s="42"/>
      <c r="C7" s="42"/>
      <c r="D7" s="198" t="s">
        <v>364</v>
      </c>
      <c r="E7" s="319"/>
    </row>
    <row r="8" spans="1:5" ht="19.5" customHeight="1" thickTop="1">
      <c r="A8" s="43" t="s">
        <v>37</v>
      </c>
      <c r="B8" s="45">
        <f>ROUND(+AVERAGE(B3:B7),-1)</f>
        <v>22160</v>
      </c>
      <c r="C8" s="45">
        <f>ROUND(+AVERAGE(C3:C7),-1)</f>
        <v>34200</v>
      </c>
      <c r="D8" s="199" t="s">
        <v>364</v>
      </c>
      <c r="E8" s="320">
        <f>ROUND(+AVERAGE(E3:E7),-1)</f>
        <v>-12040</v>
      </c>
    </row>
  </sheetData>
  <mergeCells count="1">
    <mergeCell ref="A1:E1"/>
  </mergeCells>
  <printOptions/>
  <pageMargins left="0.75" right="0.75" top="1" bottom="1" header="0.5" footer="0.5"/>
  <pageSetup fitToHeight="2" fitToWidth="1" horizontalDpi="600" verticalDpi="600" orientation="landscape" r:id="rId1"/>
  <headerFooter alignWithMargins="0">
    <oddHeader>&amp;LRRCA 
Compact Accounting&amp;RPage &amp;P of &amp;N</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G13"/>
  <sheetViews>
    <sheetView workbookViewId="0" topLeftCell="A1">
      <selection activeCell="C5" sqref="C5"/>
    </sheetView>
  </sheetViews>
  <sheetFormatPr defaultColWidth="9.140625" defaultRowHeight="12.75"/>
  <cols>
    <col min="2" max="4" width="15.7109375" style="0" customWidth="1"/>
    <col min="5" max="7" width="20.7109375" style="0" customWidth="1"/>
  </cols>
  <sheetData>
    <row r="1" spans="1:7" ht="12.75">
      <c r="A1" s="340" t="s">
        <v>52</v>
      </c>
      <c r="B1" s="340"/>
      <c r="C1" s="340"/>
      <c r="D1" s="340"/>
      <c r="E1" s="340"/>
      <c r="F1" s="340"/>
      <c r="G1" s="340"/>
    </row>
    <row r="2" spans="1:7" ht="12.75">
      <c r="A2" s="38"/>
      <c r="B2" s="341" t="s">
        <v>35</v>
      </c>
      <c r="C2" s="341"/>
      <c r="D2" s="341"/>
      <c r="E2" s="342" t="s">
        <v>3</v>
      </c>
      <c r="F2" s="342" t="s">
        <v>36</v>
      </c>
      <c r="G2" s="343" t="s">
        <v>474</v>
      </c>
    </row>
    <row r="3" spans="1:7" ht="39.75" customHeight="1">
      <c r="A3" s="39" t="s">
        <v>34</v>
      </c>
      <c r="B3" s="39" t="s">
        <v>53</v>
      </c>
      <c r="C3" s="39" t="s">
        <v>55</v>
      </c>
      <c r="D3" s="39" t="s">
        <v>4</v>
      </c>
      <c r="E3" s="342"/>
      <c r="F3" s="342"/>
      <c r="G3" s="343"/>
    </row>
    <row r="4" spans="1:7" ht="19.5" customHeight="1">
      <c r="A4" s="40">
        <f>+A5-1</f>
        <v>2004</v>
      </c>
      <c r="B4" s="44">
        <f>SUM('T1'!E54:E65)</f>
        <v>13060</v>
      </c>
      <c r="C4" s="44">
        <f>0.511*('T1'!G55+'T1'!G58+'T1'!G60+'T1'!G63+'T1'!G64+'T1'!G65)</f>
        <v>3975.58</v>
      </c>
      <c r="D4" s="44">
        <f>+B4+C4</f>
        <v>17035.58</v>
      </c>
      <c r="E4" s="44">
        <f>SUM('T1'!I54:I65)</f>
        <v>11320</v>
      </c>
      <c r="F4" s="197" t="s">
        <v>364</v>
      </c>
      <c r="G4" s="318">
        <f>+D4-(E4)</f>
        <v>5715.580000000002</v>
      </c>
    </row>
    <row r="5" spans="1:7" ht="19.5" customHeight="1" thickBot="1">
      <c r="A5" s="41">
        <f>'T1'!A2</f>
        <v>2005</v>
      </c>
      <c r="B5" s="42">
        <f>SUM('T1'!E76:E87)</f>
        <v>18380</v>
      </c>
      <c r="C5" s="42">
        <f>0.511*('T1'!G77+'T1'!G80+'T1'!G82+'T1'!G85+'T1'!G86+'T1'!G87)</f>
        <v>6060.46</v>
      </c>
      <c r="D5" s="42">
        <f>+B5+C5</f>
        <v>24440.46</v>
      </c>
      <c r="E5" s="42">
        <f>SUM('T1'!I76:I87)</f>
        <v>16370</v>
      </c>
      <c r="F5" s="198" t="s">
        <v>364</v>
      </c>
      <c r="G5" s="319">
        <f>+D5-(E5)</f>
        <v>8070.459999999999</v>
      </c>
    </row>
    <row r="6" spans="1:7" ht="19.5" customHeight="1" thickTop="1">
      <c r="A6" s="43" t="s">
        <v>37</v>
      </c>
      <c r="B6" s="45">
        <f>ROUND(+AVERAGE(B4:B5),-1)</f>
        <v>15720</v>
      </c>
      <c r="C6" s="45">
        <f>ROUND(+AVERAGE(C4:C5),-1)</f>
        <v>5020</v>
      </c>
      <c r="D6" s="45">
        <f>ROUND(+AVERAGE(D4:D5),-1)</f>
        <v>20740</v>
      </c>
      <c r="E6" s="45">
        <f>ROUND(+AVERAGE(E4:E5),-1)</f>
        <v>13850</v>
      </c>
      <c r="F6" s="45" t="s">
        <v>364</v>
      </c>
      <c r="G6" s="320">
        <f>ROUND(+AVERAGE(G4:G5),-1)</f>
        <v>6890</v>
      </c>
    </row>
    <row r="8" spans="1:7" ht="12.75">
      <c r="A8" s="340" t="s">
        <v>472</v>
      </c>
      <c r="B8" s="340"/>
      <c r="C8" s="340"/>
      <c r="D8" s="340"/>
      <c r="E8" s="340"/>
      <c r="F8" s="340"/>
      <c r="G8" s="340"/>
    </row>
    <row r="9" spans="1:7" ht="12.75" customHeight="1">
      <c r="A9" s="38"/>
      <c r="B9" s="341" t="s">
        <v>35</v>
      </c>
      <c r="C9" s="341"/>
      <c r="D9" s="341"/>
      <c r="E9" s="342" t="s">
        <v>3</v>
      </c>
      <c r="F9" s="342" t="s">
        <v>36</v>
      </c>
      <c r="G9" s="343" t="s">
        <v>474</v>
      </c>
    </row>
    <row r="10" spans="1:7" ht="39.75" customHeight="1">
      <c r="A10" s="39" t="s">
        <v>34</v>
      </c>
      <c r="B10" s="39" t="s">
        <v>53</v>
      </c>
      <c r="C10" s="39" t="s">
        <v>54</v>
      </c>
      <c r="D10" s="39" t="s">
        <v>4</v>
      </c>
      <c r="E10" s="342"/>
      <c r="F10" s="342"/>
      <c r="G10" s="343"/>
    </row>
    <row r="11" spans="1:7" ht="19.5" customHeight="1">
      <c r="A11" s="40">
        <f>+A12-1</f>
        <v>2004</v>
      </c>
      <c r="B11" s="44">
        <f>SUM('T1'!F54:F65)</f>
        <v>86600</v>
      </c>
      <c r="C11" s="44">
        <f>0.489*SUM('T1'!G54:G65)</f>
        <v>67980.78</v>
      </c>
      <c r="D11" s="44">
        <f>+B11+C11</f>
        <v>154580.78</v>
      </c>
      <c r="E11" s="44">
        <f>SUM('T1'!J54:J65)</f>
        <v>141260</v>
      </c>
      <c r="F11" s="44">
        <f>GM_output!K62-GM_output!K61</f>
        <v>9571</v>
      </c>
      <c r="G11" s="318">
        <f>+D11-(E11-F11)</f>
        <v>22891.78</v>
      </c>
    </row>
    <row r="12" spans="1:7" ht="19.5" customHeight="1" thickBot="1">
      <c r="A12" s="41">
        <f>'T1'!A2</f>
        <v>2005</v>
      </c>
      <c r="B12" s="42">
        <f>SUM('T1'!F76:F87)</f>
        <v>86110</v>
      </c>
      <c r="C12" s="42">
        <f>0.489*SUM('T1'!G76:G87)</f>
        <v>68347.53</v>
      </c>
      <c r="D12" s="42">
        <f>+B12+C12</f>
        <v>154457.53</v>
      </c>
      <c r="E12" s="42">
        <f>SUM('T1'!J76:J87)</f>
        <v>135210</v>
      </c>
      <c r="F12" s="46">
        <f>GM_output!Q62-GM_output!Q61</f>
        <v>9692</v>
      </c>
      <c r="G12" s="319">
        <f>+D12-(E12-F12)</f>
        <v>28939.53</v>
      </c>
    </row>
    <row r="13" spans="1:7" ht="19.5" customHeight="1" thickTop="1">
      <c r="A13" s="43" t="s">
        <v>37</v>
      </c>
      <c r="B13" s="45">
        <f aca="true" t="shared" si="0" ref="B13:G13">ROUND(+AVERAGE(B11:B12),-1)</f>
        <v>86360</v>
      </c>
      <c r="C13" s="45">
        <f t="shared" si="0"/>
        <v>68160</v>
      </c>
      <c r="D13" s="45">
        <f t="shared" si="0"/>
        <v>154520</v>
      </c>
      <c r="E13" s="45">
        <f t="shared" si="0"/>
        <v>138240</v>
      </c>
      <c r="F13" s="45">
        <f t="shared" si="0"/>
        <v>9630</v>
      </c>
      <c r="G13" s="320">
        <f t="shared" si="0"/>
        <v>25920</v>
      </c>
    </row>
  </sheetData>
  <mergeCells count="10">
    <mergeCell ref="A1:G1"/>
    <mergeCell ref="E2:E3"/>
    <mergeCell ref="F2:F3"/>
    <mergeCell ref="G2:G3"/>
    <mergeCell ref="B2:D2"/>
    <mergeCell ref="A8:G8"/>
    <mergeCell ref="B9:D9"/>
    <mergeCell ref="E9:E10"/>
    <mergeCell ref="F9:F10"/>
    <mergeCell ref="G9:G10"/>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I14"/>
  <sheetViews>
    <sheetView workbookViewId="0" topLeftCell="A1">
      <selection activeCell="A4" sqref="A4"/>
    </sheetView>
  </sheetViews>
  <sheetFormatPr defaultColWidth="9.140625" defaultRowHeight="12.75"/>
  <cols>
    <col min="2" max="2" width="16.7109375" style="0" customWidth="1"/>
    <col min="3" max="3" width="18.140625" style="0" customWidth="1"/>
    <col min="4" max="4" width="14.421875" style="0" customWidth="1"/>
    <col min="5" max="7" width="12.7109375" style="0" customWidth="1"/>
    <col min="8" max="8" width="15.7109375" style="0" customWidth="1"/>
    <col min="9" max="9" width="17.140625" style="0" customWidth="1"/>
  </cols>
  <sheetData>
    <row r="1" spans="1:9" ht="12.75">
      <c r="A1" s="340" t="s">
        <v>63</v>
      </c>
      <c r="B1" s="340"/>
      <c r="C1" s="340"/>
      <c r="D1" s="340"/>
      <c r="E1" s="340"/>
      <c r="F1" s="340"/>
      <c r="G1" s="340"/>
      <c r="H1" s="340"/>
      <c r="I1" s="340"/>
    </row>
    <row r="2" spans="1:9" ht="12.75" customHeight="1">
      <c r="A2" s="38"/>
      <c r="B2" s="341" t="s">
        <v>35</v>
      </c>
      <c r="C2" s="341"/>
      <c r="D2" s="341"/>
      <c r="E2" s="344" t="s">
        <v>3</v>
      </c>
      <c r="F2" s="345"/>
      <c r="G2" s="346"/>
      <c r="H2" s="342" t="s">
        <v>62</v>
      </c>
      <c r="I2" s="343" t="s">
        <v>476</v>
      </c>
    </row>
    <row r="3" spans="1:9" ht="39.75" customHeight="1">
      <c r="A3" s="39" t="s">
        <v>34</v>
      </c>
      <c r="B3" s="39" t="s">
        <v>56</v>
      </c>
      <c r="C3" s="39" t="s">
        <v>57</v>
      </c>
      <c r="D3" s="39" t="s">
        <v>58</v>
      </c>
      <c r="E3" s="39" t="s">
        <v>59</v>
      </c>
      <c r="F3" s="39" t="s">
        <v>60</v>
      </c>
      <c r="G3" s="39" t="s">
        <v>61</v>
      </c>
      <c r="H3" s="342"/>
      <c r="I3" s="343"/>
    </row>
    <row r="4" spans="1:9" ht="19.5" customHeight="1" thickBot="1">
      <c r="A4" s="40">
        <f>+A5-1</f>
        <v>2004</v>
      </c>
      <c r="B4" s="42">
        <v>205630</v>
      </c>
      <c r="C4" s="42">
        <v>10494.1847934</v>
      </c>
      <c r="D4" s="42">
        <v>195135.8152066</v>
      </c>
      <c r="E4" s="42">
        <v>252650</v>
      </c>
      <c r="F4" s="42">
        <v>2898.75</v>
      </c>
      <c r="G4" s="42">
        <v>249751.25</v>
      </c>
      <c r="H4" s="46">
        <v>10381</v>
      </c>
      <c r="I4" s="319">
        <v>-44234.434793399996</v>
      </c>
    </row>
    <row r="5" spans="1:9" ht="19.5" customHeight="1" thickBot="1" thickTop="1">
      <c r="A5" s="41">
        <f>'T1'!A2</f>
        <v>2005</v>
      </c>
      <c r="B5" s="42">
        <f>'T1'!F19</f>
        <v>199450</v>
      </c>
      <c r="C5" s="42">
        <f>Attachment6!Q4</f>
        <v>4586.273004600001</v>
      </c>
      <c r="D5" s="42">
        <f>+B5-C5</f>
        <v>194863.7269954</v>
      </c>
      <c r="E5" s="42">
        <f>'T1'!J19</f>
        <v>253740</v>
      </c>
      <c r="F5" s="42">
        <f>Attachment6!I4</f>
        <v>4051.5</v>
      </c>
      <c r="G5" s="42">
        <f>+E5-F5</f>
        <v>249688.5</v>
      </c>
      <c r="H5" s="46">
        <f>GM_output!E31</f>
        <v>11965</v>
      </c>
      <c r="I5" s="319">
        <f>+D5-(G5-H5)</f>
        <v>-42859.77300459999</v>
      </c>
    </row>
    <row r="6" spans="1:9" ht="19.5" customHeight="1" thickTop="1">
      <c r="A6" s="43" t="s">
        <v>37</v>
      </c>
      <c r="B6" s="45">
        <f aca="true" t="shared" si="0" ref="B6:I6">ROUND(+AVERAGE(B4:B5),-1)</f>
        <v>202540</v>
      </c>
      <c r="C6" s="45">
        <f t="shared" si="0"/>
        <v>7540</v>
      </c>
      <c r="D6" s="45">
        <f t="shared" si="0"/>
        <v>195000</v>
      </c>
      <c r="E6" s="45">
        <f t="shared" si="0"/>
        <v>253200</v>
      </c>
      <c r="F6" s="45">
        <f t="shared" si="0"/>
        <v>3480</v>
      </c>
      <c r="G6" s="45">
        <f t="shared" si="0"/>
        <v>249720</v>
      </c>
      <c r="H6" s="45">
        <f t="shared" si="0"/>
        <v>11170</v>
      </c>
      <c r="I6" s="320">
        <f t="shared" si="0"/>
        <v>-43550</v>
      </c>
    </row>
    <row r="8" spans="1:9" ht="12.75">
      <c r="A8" s="340" t="s">
        <v>473</v>
      </c>
      <c r="B8" s="340"/>
      <c r="C8" s="340"/>
      <c r="D8" s="340"/>
      <c r="E8" s="340"/>
      <c r="F8" s="340"/>
      <c r="G8" s="340"/>
      <c r="H8" s="340"/>
      <c r="I8" s="340"/>
    </row>
    <row r="9" spans="1:9" ht="12.75" customHeight="1">
      <c r="A9" s="38"/>
      <c r="B9" s="341" t="s">
        <v>35</v>
      </c>
      <c r="C9" s="341"/>
      <c r="D9" s="341"/>
      <c r="E9" s="344" t="s">
        <v>3</v>
      </c>
      <c r="F9" s="345"/>
      <c r="G9" s="346"/>
      <c r="H9" s="342" t="s">
        <v>62</v>
      </c>
      <c r="I9" s="343" t="s">
        <v>476</v>
      </c>
    </row>
    <row r="10" spans="1:9" ht="40.5" customHeight="1">
      <c r="A10" s="39" t="s">
        <v>34</v>
      </c>
      <c r="B10" s="39" t="s">
        <v>56</v>
      </c>
      <c r="C10" s="39" t="s">
        <v>57</v>
      </c>
      <c r="D10" s="39" t="s">
        <v>58</v>
      </c>
      <c r="E10" s="39" t="s">
        <v>59</v>
      </c>
      <c r="F10" s="39" t="s">
        <v>60</v>
      </c>
      <c r="G10" s="39" t="s">
        <v>61</v>
      </c>
      <c r="H10" s="342"/>
      <c r="I10" s="343"/>
    </row>
    <row r="11" spans="1:9" ht="19.5" customHeight="1">
      <c r="A11" s="47">
        <f>+A12-1</f>
        <v>2003</v>
      </c>
      <c r="B11" s="44"/>
      <c r="C11" s="44"/>
      <c r="D11" s="44"/>
      <c r="E11" s="44"/>
      <c r="F11" s="44"/>
      <c r="G11" s="44"/>
      <c r="H11" s="44"/>
      <c r="I11" s="44"/>
    </row>
    <row r="12" spans="1:9" ht="19.5" customHeight="1">
      <c r="A12" s="47">
        <f>+A13-1</f>
        <v>2004</v>
      </c>
      <c r="B12" s="48"/>
      <c r="C12" s="48"/>
      <c r="D12" s="44"/>
      <c r="E12" s="48"/>
      <c r="F12" s="48"/>
      <c r="G12" s="44"/>
      <c r="H12" s="44"/>
      <c r="I12" s="44"/>
    </row>
    <row r="13" spans="1:9" ht="19.5" customHeight="1" thickBot="1">
      <c r="A13" s="41">
        <f>'T1'!A2</f>
        <v>2005</v>
      </c>
      <c r="B13" s="42"/>
      <c r="C13" s="42"/>
      <c r="D13" s="42"/>
      <c r="E13" s="42"/>
      <c r="F13" s="42"/>
      <c r="G13" s="42"/>
      <c r="H13" s="46"/>
      <c r="I13" s="42"/>
    </row>
    <row r="14" spans="1:9" ht="19.5" customHeight="1" thickTop="1">
      <c r="A14" s="43" t="s">
        <v>37</v>
      </c>
      <c r="B14" s="45"/>
      <c r="C14" s="45"/>
      <c r="D14" s="45"/>
      <c r="E14" s="45"/>
      <c r="F14" s="45"/>
      <c r="G14" s="45"/>
      <c r="H14" s="45"/>
      <c r="I14" s="45"/>
    </row>
  </sheetData>
  <mergeCells count="10">
    <mergeCell ref="A1:I1"/>
    <mergeCell ref="B2:D2"/>
    <mergeCell ref="H2:H3"/>
    <mergeCell ref="I2:I3"/>
    <mergeCell ref="E2:G2"/>
    <mergeCell ref="A8:I8"/>
    <mergeCell ref="B9:D9"/>
    <mergeCell ref="E9:G9"/>
    <mergeCell ref="H9:H10"/>
    <mergeCell ref="I9:I10"/>
  </mergeCells>
  <printOptions/>
  <pageMargins left="0.75" right="0.75" top="1" bottom="1" header="0.5" footer="0.5"/>
  <pageSetup fitToHeight="1" fitToWidth="1" horizontalDpi="600" verticalDpi="600" orientation="landscape" scale="94" r:id="rId1"/>
  <headerFooter alignWithMargins="0">
    <oddHeader>&amp;LRRCA
Compact Accounting&amp;RPage &amp;P of &amp;N</oddHeader>
  </headerFooter>
</worksheet>
</file>

<file path=xl/worksheets/sheet23.xml><?xml version="1.0" encoding="utf-8"?>
<worksheet xmlns="http://schemas.openxmlformats.org/spreadsheetml/2006/main" xmlns:r="http://schemas.openxmlformats.org/officeDocument/2006/relationships">
  <sheetPr codeName="Sheet23">
    <pageSetUpPr fitToPage="1"/>
  </sheetPr>
  <dimension ref="A1:R31"/>
  <sheetViews>
    <sheetView workbookViewId="0" topLeftCell="B1">
      <selection activeCell="B23" sqref="B23"/>
    </sheetView>
  </sheetViews>
  <sheetFormatPr defaultColWidth="9.140625" defaultRowHeight="12.75"/>
  <cols>
    <col min="4" max="4" width="9.421875" style="0" customWidth="1"/>
    <col min="8" max="8" width="10.28125" style="0" customWidth="1"/>
  </cols>
  <sheetData>
    <row r="1" ht="12.75">
      <c r="A1" t="s">
        <v>432</v>
      </c>
    </row>
    <row r="3" spans="1:18" s="50" customFormat="1" ht="76.5">
      <c r="A3" s="39" t="s">
        <v>464</v>
      </c>
      <c r="B3" s="39" t="s">
        <v>64</v>
      </c>
      <c r="C3" s="39" t="s">
        <v>65</v>
      </c>
      <c r="D3" s="39" t="s">
        <v>66</v>
      </c>
      <c r="E3" s="39" t="s">
        <v>67</v>
      </c>
      <c r="F3" s="39" t="s">
        <v>68</v>
      </c>
      <c r="G3" s="39" t="s">
        <v>69</v>
      </c>
      <c r="H3" s="39" t="s">
        <v>70</v>
      </c>
      <c r="I3" s="39" t="s">
        <v>71</v>
      </c>
      <c r="J3" s="39" t="s">
        <v>72</v>
      </c>
      <c r="K3" s="39" t="s">
        <v>77</v>
      </c>
      <c r="L3" s="39" t="s">
        <v>73</v>
      </c>
      <c r="M3" s="39" t="s">
        <v>74</v>
      </c>
      <c r="N3" s="39" t="s">
        <v>575</v>
      </c>
      <c r="O3" s="39" t="s">
        <v>576</v>
      </c>
      <c r="P3" s="39" t="s">
        <v>577</v>
      </c>
      <c r="Q3" s="39" t="s">
        <v>75</v>
      </c>
      <c r="R3" s="39" t="s">
        <v>76</v>
      </c>
    </row>
    <row r="4" spans="1:18" s="33" customFormat="1" ht="12.75">
      <c r="A4" s="165">
        <f>MAINSTEM!B187</f>
        <v>92010</v>
      </c>
      <c r="B4" s="165">
        <f>INPUT!C196</f>
        <v>16980</v>
      </c>
      <c r="C4" s="165">
        <f>INPUT!C195</f>
        <v>1779</v>
      </c>
      <c r="D4" s="165">
        <f>INPUT!C260</f>
        <v>48737</v>
      </c>
      <c r="E4" s="165">
        <f>INPUT!C257</f>
        <v>4712</v>
      </c>
      <c r="F4" s="165">
        <f>J9+J10</f>
        <v>7695.11</v>
      </c>
      <c r="G4" s="165">
        <f>E4-J16</f>
        <v>3024.758599999999</v>
      </c>
      <c r="H4" s="165">
        <f>F4+G4</f>
        <v>10719.868599999998</v>
      </c>
      <c r="I4" s="327">
        <f>J20+J21+J22-J23-J24+J25</f>
        <v>4051.5</v>
      </c>
      <c r="J4" s="166">
        <f>J29+J30+J31</f>
        <v>846.25</v>
      </c>
      <c r="K4" s="166">
        <f>I4+J4</f>
        <v>4897.75</v>
      </c>
      <c r="L4" s="166">
        <f>B4-C4-H4</f>
        <v>4481.131400000002</v>
      </c>
      <c r="M4" s="166">
        <f>K4+L4</f>
        <v>9378.881400000002</v>
      </c>
      <c r="N4" s="166">
        <f>A4-M4</f>
        <v>82631.1186</v>
      </c>
      <c r="O4" s="166">
        <f>0.489*N4</f>
        <v>40406.6169954</v>
      </c>
      <c r="P4" s="166">
        <f>0.511*N4</f>
        <v>42224.5016046</v>
      </c>
      <c r="Q4" s="166">
        <f>0.489*M4</f>
        <v>4586.273004600001</v>
      </c>
      <c r="R4" s="166">
        <f>0.511*M4</f>
        <v>4792.608395400001</v>
      </c>
    </row>
    <row r="5" spans="1:18" ht="12.75">
      <c r="A5" s="17"/>
      <c r="B5" s="17"/>
      <c r="C5" s="17"/>
      <c r="D5" s="17"/>
      <c r="E5" s="17"/>
      <c r="F5" s="17"/>
      <c r="G5" s="17"/>
      <c r="H5" s="17"/>
      <c r="L5" s="226"/>
      <c r="N5" s="226"/>
      <c r="O5" s="226"/>
      <c r="P5" s="227"/>
      <c r="Q5" s="227"/>
      <c r="R5" s="227"/>
    </row>
    <row r="6" spans="12:18" ht="12.75">
      <c r="L6" s="226"/>
      <c r="N6" s="226"/>
      <c r="O6" s="226"/>
      <c r="P6" s="227"/>
      <c r="Q6" s="227"/>
      <c r="R6" s="227"/>
    </row>
    <row r="7" ht="12.75">
      <c r="L7" s="226"/>
    </row>
    <row r="8" spans="2:10" ht="12.75">
      <c r="B8" s="167" t="s">
        <v>78</v>
      </c>
      <c r="C8" s="168"/>
      <c r="D8" s="168"/>
      <c r="E8" s="168"/>
      <c r="F8" s="168"/>
      <c r="G8" s="168"/>
      <c r="H8" s="168"/>
      <c r="I8" s="168"/>
      <c r="J8" s="169"/>
    </row>
    <row r="9" spans="2:13" ht="12.75">
      <c r="B9" s="175" t="str">
        <f>MAINSTEM!A89</f>
        <v>Return Flow From Courtland Canal To Republican River Above Hardy From Kansas</v>
      </c>
      <c r="C9" s="176"/>
      <c r="D9" s="176"/>
      <c r="E9" s="176"/>
      <c r="F9" s="176"/>
      <c r="G9" s="176"/>
      <c r="H9" s="176"/>
      <c r="I9" s="177"/>
      <c r="J9" s="73">
        <f>MAINSTEM!B89</f>
        <v>601.29</v>
      </c>
      <c r="K9" s="62"/>
      <c r="L9" s="62"/>
      <c r="M9" s="62"/>
    </row>
    <row r="10" spans="2:13" ht="12.75">
      <c r="B10" s="172" t="s">
        <v>465</v>
      </c>
      <c r="C10" s="173"/>
      <c r="D10" s="173"/>
      <c r="E10" s="173"/>
      <c r="F10" s="173"/>
      <c r="G10" s="173"/>
      <c r="H10" s="173"/>
      <c r="I10" s="174"/>
      <c r="J10" s="178">
        <f>(J12-J13-J15)*0.82</f>
        <v>7093.82</v>
      </c>
      <c r="K10" s="62"/>
      <c r="L10" s="62"/>
      <c r="M10" s="62"/>
    </row>
    <row r="11" spans="2:13" ht="12.75">
      <c r="B11" s="170"/>
      <c r="C11" s="1"/>
      <c r="D11" s="1"/>
      <c r="E11" s="1"/>
      <c r="F11" s="1"/>
      <c r="G11" s="1"/>
      <c r="H11" s="1"/>
      <c r="I11" s="171"/>
      <c r="J11" s="179"/>
      <c r="K11" s="62"/>
      <c r="L11" s="62"/>
      <c r="M11" s="62"/>
    </row>
    <row r="12" spans="2:13" ht="12.75">
      <c r="B12" s="167" t="str">
        <f>MAINSTEM!A57</f>
        <v>Courtland Canal Diversions At Headgate</v>
      </c>
      <c r="C12" s="168"/>
      <c r="D12" s="168"/>
      <c r="E12" s="168"/>
      <c r="F12" s="168"/>
      <c r="G12" s="168"/>
      <c r="H12" s="168"/>
      <c r="I12" s="180"/>
      <c r="J12" s="181">
        <f>MAINSTEM!B57</f>
        <v>48737</v>
      </c>
      <c r="K12" s="62"/>
      <c r="L12" s="62"/>
      <c r="M12" s="62"/>
    </row>
    <row r="13" spans="2:13" ht="12.75">
      <c r="B13" s="175" t="str">
        <f>MAINSTEM!A61</f>
        <v>Courtland Canal At Kansas-Nebraska State Line</v>
      </c>
      <c r="C13" s="176"/>
      <c r="D13" s="176"/>
      <c r="E13" s="176"/>
      <c r="F13" s="176"/>
      <c r="G13" s="176"/>
      <c r="H13" s="176"/>
      <c r="I13" s="177"/>
      <c r="J13" s="73">
        <f>MAINSTEM!B61</f>
        <v>40086</v>
      </c>
      <c r="K13" s="62"/>
      <c r="L13" s="62"/>
      <c r="M13" s="62"/>
    </row>
    <row r="14" spans="2:13" ht="12.75">
      <c r="B14" s="170"/>
      <c r="C14" s="1"/>
      <c r="D14" s="1"/>
      <c r="E14" s="1"/>
      <c r="F14" s="1"/>
      <c r="G14" s="1"/>
      <c r="H14" s="1"/>
      <c r="I14" s="171"/>
      <c r="J14" s="179"/>
      <c r="K14" s="62"/>
      <c r="L14" s="62"/>
      <c r="M14" s="62"/>
    </row>
    <row r="15" spans="2:13" ht="12.75">
      <c r="B15" s="175" t="str">
        <f>MAINSTEM!A119</f>
        <v>NE Courtland Canal CBCU (includes transportation loss)</v>
      </c>
      <c r="C15" s="176"/>
      <c r="D15" s="176"/>
      <c r="E15" s="176"/>
      <c r="F15" s="176"/>
      <c r="G15" s="176"/>
      <c r="H15" s="176"/>
      <c r="I15" s="177"/>
      <c r="J15" s="183">
        <f>MAINSTEM!B119</f>
        <v>0</v>
      </c>
      <c r="K15" s="62"/>
      <c r="L15" s="62"/>
      <c r="M15" s="62"/>
    </row>
    <row r="16" spans="2:13" ht="12.75">
      <c r="B16" s="172" t="str">
        <f>MAINSTEM!A120</f>
        <v>Superior Canal CBCU</v>
      </c>
      <c r="C16" s="173"/>
      <c r="D16" s="173"/>
      <c r="E16" s="173"/>
      <c r="F16" s="173"/>
      <c r="G16" s="173"/>
      <c r="H16" s="173"/>
      <c r="I16" s="174"/>
      <c r="J16" s="178">
        <f>MAINSTEM!B120</f>
        <v>1687.2414000000006</v>
      </c>
      <c r="K16" s="62"/>
      <c r="L16" s="62"/>
      <c r="M16" s="62"/>
    </row>
    <row r="17" spans="2:13" ht="12.75">
      <c r="B17" s="1"/>
      <c r="C17" s="1"/>
      <c r="D17" s="1"/>
      <c r="E17" s="1"/>
      <c r="F17" s="1"/>
      <c r="G17" s="1"/>
      <c r="H17" s="1"/>
      <c r="I17" s="171"/>
      <c r="J17" s="188"/>
      <c r="K17" s="62"/>
      <c r="L17" s="62"/>
      <c r="M17" s="62"/>
    </row>
    <row r="18" spans="9:13" ht="12.75">
      <c r="I18" s="62"/>
      <c r="J18" s="164"/>
      <c r="K18" s="62"/>
      <c r="L18" s="62"/>
      <c r="M18" s="62"/>
    </row>
    <row r="19" spans="1:13" ht="12.75">
      <c r="A19" s="187"/>
      <c r="B19" s="175" t="s">
        <v>310</v>
      </c>
      <c r="C19" s="168"/>
      <c r="D19" s="168"/>
      <c r="E19" s="168"/>
      <c r="F19" s="168"/>
      <c r="G19" s="168"/>
      <c r="H19" s="168"/>
      <c r="I19" s="180"/>
      <c r="J19" s="184"/>
      <c r="K19" s="62"/>
      <c r="L19" s="62"/>
      <c r="M19" s="62"/>
    </row>
    <row r="20" spans="1:13" ht="12.75">
      <c r="A20" s="187"/>
      <c r="B20" s="175" t="str">
        <f>INPUT!B144</f>
        <v>SW Diversions - Irrigation - Small Pumps - Nebraska Below Guide Rock</v>
      </c>
      <c r="C20" s="176"/>
      <c r="D20" s="176"/>
      <c r="E20" s="176"/>
      <c r="F20" s="176"/>
      <c r="G20" s="176"/>
      <c r="H20" s="176"/>
      <c r="I20" s="177"/>
      <c r="J20" s="183">
        <f>INPUT!C144</f>
        <v>1278</v>
      </c>
      <c r="K20" s="62"/>
      <c r="L20" s="51"/>
      <c r="M20" s="62"/>
    </row>
    <row r="21" spans="1:13" ht="12.75">
      <c r="A21" s="187"/>
      <c r="B21" s="175" t="str">
        <f>INPUT!B145</f>
        <v>SW Diversions - M&amp;I - Nebraska - Below Guide Rock</v>
      </c>
      <c r="C21" s="176"/>
      <c r="D21" s="176"/>
      <c r="E21" s="176"/>
      <c r="F21" s="176"/>
      <c r="G21" s="176"/>
      <c r="H21" s="176"/>
      <c r="I21" s="177"/>
      <c r="J21" s="183">
        <f>INPUT!C145</f>
        <v>0</v>
      </c>
      <c r="K21" s="62"/>
      <c r="L21" s="51"/>
      <c r="M21" s="62"/>
    </row>
    <row r="22" spans="1:13" ht="12.75">
      <c r="A22" s="187"/>
      <c r="B22" s="325" t="s">
        <v>586</v>
      </c>
      <c r="C22" s="176"/>
      <c r="D22" s="176"/>
      <c r="E22" s="176"/>
      <c r="F22" s="176"/>
      <c r="G22" s="176"/>
      <c r="H22" s="176"/>
      <c r="I22" s="177"/>
      <c r="J22" s="326">
        <f>INPUT!C180</f>
        <v>137</v>
      </c>
      <c r="K22" s="62"/>
      <c r="L22" s="51"/>
      <c r="M22" s="62"/>
    </row>
    <row r="23" spans="1:13" ht="12.75">
      <c r="A23" s="187"/>
      <c r="B23" s="175" t="s">
        <v>466</v>
      </c>
      <c r="C23" s="176"/>
      <c r="D23" s="176"/>
      <c r="E23" s="176"/>
      <c r="F23" s="176"/>
      <c r="G23" s="176"/>
      <c r="H23" s="176"/>
      <c r="I23" s="177"/>
      <c r="J23" s="16">
        <f>J20*(1-PumperCUPercent)</f>
        <v>319.5</v>
      </c>
      <c r="K23" s="62"/>
      <c r="L23" s="62"/>
      <c r="M23" s="62"/>
    </row>
    <row r="24" spans="1:13" ht="12.75">
      <c r="A24" s="187"/>
      <c r="B24" s="175" t="s">
        <v>467</v>
      </c>
      <c r="C24" s="176"/>
      <c r="D24" s="176"/>
      <c r="E24" s="176"/>
      <c r="F24" s="176"/>
      <c r="G24" s="176"/>
      <c r="H24" s="176"/>
      <c r="I24" s="177"/>
      <c r="J24" s="16">
        <f>J21*(1-MI_CUPercent)</f>
        <v>0</v>
      </c>
      <c r="K24" s="62"/>
      <c r="L24" s="62"/>
      <c r="M24" s="62"/>
    </row>
    <row r="25" spans="1:13" ht="12.75">
      <c r="A25" s="187"/>
      <c r="B25" s="172" t="str">
        <f>MAINSTEM!A9</f>
        <v>GW CBCU Nebraska Below Guide Rock</v>
      </c>
      <c r="C25" s="173"/>
      <c r="D25" s="173"/>
      <c r="E25" s="173"/>
      <c r="F25" s="173"/>
      <c r="G25" s="173"/>
      <c r="H25" s="173"/>
      <c r="I25" s="174"/>
      <c r="J25" s="182">
        <f>MAINSTEM!B9</f>
        <v>2956</v>
      </c>
      <c r="K25" s="62"/>
      <c r="L25" s="62"/>
      <c r="M25" s="62"/>
    </row>
    <row r="26" spans="9:13" ht="12.75">
      <c r="I26" s="62"/>
      <c r="J26" s="62"/>
      <c r="K26" s="62"/>
      <c r="L26" s="62"/>
      <c r="M26" s="62"/>
    </row>
    <row r="27" spans="9:13" ht="12.75">
      <c r="I27" s="62"/>
      <c r="J27" s="62"/>
      <c r="K27" s="62"/>
      <c r="L27" s="62"/>
      <c r="M27" s="62"/>
    </row>
    <row r="28" spans="1:10" ht="12.75">
      <c r="A28" s="187"/>
      <c r="B28" s="175" t="s">
        <v>468</v>
      </c>
      <c r="C28" s="168"/>
      <c r="D28" s="168"/>
      <c r="E28" s="168"/>
      <c r="F28" s="168"/>
      <c r="G28" s="168"/>
      <c r="H28" s="168"/>
      <c r="I28" s="168"/>
      <c r="J28" s="169"/>
    </row>
    <row r="29" spans="1:10" ht="12.75">
      <c r="A29" s="187"/>
      <c r="B29" s="175" t="str">
        <f>MAINSTEM!A111</f>
        <v>SW CBCU - Irrigation - Small Pumps</v>
      </c>
      <c r="C29" s="176"/>
      <c r="D29" s="176"/>
      <c r="E29" s="176"/>
      <c r="F29" s="176"/>
      <c r="G29" s="176"/>
      <c r="H29" s="176"/>
      <c r="I29" s="176"/>
      <c r="J29" s="186">
        <f>MAINSTEM!B111</f>
        <v>575.25</v>
      </c>
    </row>
    <row r="30" spans="1:10" ht="12.75">
      <c r="A30" s="187"/>
      <c r="B30" s="175" t="str">
        <f>MAINSTEM!A112</f>
        <v>SW CBCU - M&amp;I</v>
      </c>
      <c r="C30" s="176"/>
      <c r="D30" s="176"/>
      <c r="E30" s="176"/>
      <c r="F30" s="176"/>
      <c r="G30" s="176"/>
      <c r="H30" s="176"/>
      <c r="I30" s="176"/>
      <c r="J30" s="186">
        <f>MAINSTEM!B112</f>
        <v>0</v>
      </c>
    </row>
    <row r="31" spans="1:10" ht="12.75">
      <c r="A31" s="187"/>
      <c r="B31" s="172" t="str">
        <f>MAINSTEM!A7</f>
        <v>GW CBCU Kansas</v>
      </c>
      <c r="C31" s="173"/>
      <c r="D31" s="173"/>
      <c r="E31" s="173"/>
      <c r="F31" s="173"/>
      <c r="G31" s="173"/>
      <c r="H31" s="173"/>
      <c r="I31" s="173"/>
      <c r="J31" s="185">
        <f>MAINSTEM!B7</f>
        <v>271</v>
      </c>
    </row>
  </sheetData>
  <printOptions/>
  <pageMargins left="0.48" right="0.43" top="1" bottom="1" header="0.5" footer="0.5"/>
  <pageSetup fitToHeight="1" fitToWidth="1" horizontalDpi="600" verticalDpi="600" orientation="landscape" scale="80" r:id="rId1"/>
  <headerFooter alignWithMargins="0">
    <oddHeader>&amp;LRRCA 
Compact Accounting&amp;RPage &amp;P of &amp;N</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A1" sqref="A1"/>
    </sheetView>
  </sheetViews>
  <sheetFormatPr defaultColWidth="9.140625" defaultRowHeight="12.75"/>
  <cols>
    <col min="1" max="1" width="13.57421875" style="0" customWidth="1"/>
    <col min="2" max="2" width="10.00390625" style="0" customWidth="1"/>
    <col min="3" max="3" width="12.00390625" style="0" customWidth="1"/>
    <col min="4" max="4" width="10.8515625" style="0" customWidth="1"/>
    <col min="5" max="5" width="11.140625" style="0" customWidth="1"/>
    <col min="6" max="6" width="11.28125" style="0" customWidth="1"/>
    <col min="7" max="7" width="9.7109375" style="0" customWidth="1"/>
    <col min="8" max="8" width="10.7109375" style="0" customWidth="1"/>
    <col min="9" max="9" width="13.8515625" style="0" customWidth="1"/>
    <col min="10" max="10" width="10.7109375" style="0" customWidth="1"/>
    <col min="11" max="11" width="11.140625" style="0" customWidth="1"/>
  </cols>
  <sheetData>
    <row r="1" spans="1:2" ht="12.75">
      <c r="A1" s="83">
        <v>2005</v>
      </c>
      <c r="B1" s="84"/>
    </row>
    <row r="2" ht="12.75">
      <c r="A2" s="3" t="s">
        <v>365</v>
      </c>
    </row>
    <row r="4" spans="1:11" ht="12.75">
      <c r="A4" s="81" t="s">
        <v>366</v>
      </c>
      <c r="B4" s="85" t="s">
        <v>367</v>
      </c>
      <c r="C4" s="85" t="s">
        <v>368</v>
      </c>
      <c r="D4" s="85" t="s">
        <v>369</v>
      </c>
      <c r="E4" s="85" t="s">
        <v>370</v>
      </c>
      <c r="F4" s="85" t="s">
        <v>371</v>
      </c>
      <c r="G4" s="85" t="s">
        <v>372</v>
      </c>
      <c r="H4" s="85" t="s">
        <v>373</v>
      </c>
      <c r="I4" s="85" t="s">
        <v>374</v>
      </c>
      <c r="J4" s="85" t="s">
        <v>375</v>
      </c>
      <c r="K4" s="86" t="s">
        <v>376</v>
      </c>
    </row>
    <row r="5" spans="1:11" ht="12.75">
      <c r="A5" s="89" t="s">
        <v>323</v>
      </c>
      <c r="B5" s="90" t="s">
        <v>377</v>
      </c>
      <c r="C5" s="90" t="s">
        <v>378</v>
      </c>
      <c r="D5" s="90" t="s">
        <v>379</v>
      </c>
      <c r="E5" s="90" t="s">
        <v>380</v>
      </c>
      <c r="F5" s="90" t="s">
        <v>381</v>
      </c>
      <c r="G5" s="90" t="s">
        <v>382</v>
      </c>
      <c r="H5" s="90" t="s">
        <v>383</v>
      </c>
      <c r="I5" s="93" t="s">
        <v>389</v>
      </c>
      <c r="J5" s="90" t="s">
        <v>384</v>
      </c>
      <c r="K5" s="91" t="s">
        <v>385</v>
      </c>
    </row>
    <row r="6" spans="1:11" ht="12.75">
      <c r="A6" s="92"/>
      <c r="B6" s="93" t="s">
        <v>351</v>
      </c>
      <c r="C6" s="93" t="s">
        <v>386</v>
      </c>
      <c r="D6" s="93" t="s">
        <v>387</v>
      </c>
      <c r="E6" s="93"/>
      <c r="F6" s="93" t="s">
        <v>382</v>
      </c>
      <c r="G6" s="93"/>
      <c r="H6" s="93" t="s">
        <v>388</v>
      </c>
      <c r="I6" s="93" t="s">
        <v>393</v>
      </c>
      <c r="J6" s="93" t="s">
        <v>390</v>
      </c>
      <c r="K6" s="94" t="s">
        <v>391</v>
      </c>
    </row>
    <row r="7" spans="1:11" ht="12.75">
      <c r="A7" s="92"/>
      <c r="B7" s="93"/>
      <c r="C7" s="93"/>
      <c r="D7" s="93"/>
      <c r="E7" s="93"/>
      <c r="F7" s="93" t="s">
        <v>392</v>
      </c>
      <c r="G7" s="93"/>
      <c r="H7" s="93"/>
      <c r="I7" s="93" t="s">
        <v>395</v>
      </c>
      <c r="J7" s="93" t="s">
        <v>394</v>
      </c>
      <c r="K7" s="94" t="s">
        <v>323</v>
      </c>
    </row>
    <row r="8" spans="1:11" ht="12.75">
      <c r="A8" s="92"/>
      <c r="B8" s="93"/>
      <c r="C8" s="93"/>
      <c r="D8" s="93"/>
      <c r="E8" s="93"/>
      <c r="F8" s="93"/>
      <c r="G8" s="93"/>
      <c r="H8" s="93"/>
      <c r="I8" s="93" t="s">
        <v>397</v>
      </c>
      <c r="J8" s="93" t="s">
        <v>396</v>
      </c>
      <c r="K8" s="94" t="s">
        <v>351</v>
      </c>
    </row>
    <row r="9" spans="1:11" ht="12.75">
      <c r="A9" s="92"/>
      <c r="B9" s="93"/>
      <c r="C9" s="93"/>
      <c r="D9" s="93"/>
      <c r="E9" s="93"/>
      <c r="F9" s="93"/>
      <c r="G9" s="93"/>
      <c r="H9" s="93"/>
      <c r="I9" s="93" t="s">
        <v>398</v>
      </c>
      <c r="J9" s="93" t="s">
        <v>321</v>
      </c>
      <c r="K9" s="94"/>
    </row>
    <row r="10" spans="1:11" ht="12.75">
      <c r="A10" s="89" t="s">
        <v>399</v>
      </c>
      <c r="B10" s="90" t="s">
        <v>400</v>
      </c>
      <c r="C10" s="90" t="s">
        <v>401</v>
      </c>
      <c r="D10" s="90" t="s">
        <v>402</v>
      </c>
      <c r="E10" s="90" t="s">
        <v>403</v>
      </c>
      <c r="F10" s="90" t="s">
        <v>404</v>
      </c>
      <c r="G10" s="90" t="s">
        <v>405</v>
      </c>
      <c r="H10" s="90" t="s">
        <v>406</v>
      </c>
      <c r="I10" s="90" t="s">
        <v>407</v>
      </c>
      <c r="J10" s="90" t="s">
        <v>408</v>
      </c>
      <c r="K10" s="95" t="s">
        <v>409</v>
      </c>
    </row>
    <row r="11" spans="1:11" ht="12.75">
      <c r="A11" s="92"/>
      <c r="B11" s="93" t="s">
        <v>351</v>
      </c>
      <c r="C11" s="93" t="s">
        <v>410</v>
      </c>
      <c r="D11" s="93" t="s">
        <v>411</v>
      </c>
      <c r="E11" s="93"/>
      <c r="F11" s="93" t="s">
        <v>37</v>
      </c>
      <c r="G11" s="93" t="s">
        <v>371</v>
      </c>
      <c r="H11" s="93" t="s">
        <v>372</v>
      </c>
      <c r="I11" s="93" t="s">
        <v>412</v>
      </c>
      <c r="J11" s="93" t="s">
        <v>374</v>
      </c>
      <c r="K11" s="94"/>
    </row>
    <row r="12" spans="1:11" ht="12.75">
      <c r="A12" s="92"/>
      <c r="B12" s="93"/>
      <c r="C12" s="93" t="s">
        <v>413</v>
      </c>
      <c r="D12" s="93" t="s">
        <v>414</v>
      </c>
      <c r="E12" s="93"/>
      <c r="F12" s="93" t="s">
        <v>415</v>
      </c>
      <c r="G12" s="93"/>
      <c r="H12" s="93"/>
      <c r="I12" s="93"/>
      <c r="J12" s="93"/>
      <c r="K12" s="94"/>
    </row>
    <row r="13" spans="1:11" ht="12.75">
      <c r="A13" s="92"/>
      <c r="B13" s="93"/>
      <c r="C13" s="93"/>
      <c r="D13" s="93"/>
      <c r="E13" s="93"/>
      <c r="F13" s="93" t="s">
        <v>416</v>
      </c>
      <c r="G13" s="93"/>
      <c r="H13" s="93"/>
      <c r="I13" s="93"/>
      <c r="J13" s="93"/>
      <c r="K13" s="94"/>
    </row>
    <row r="14" spans="1:11" ht="12.75">
      <c r="A14" s="92"/>
      <c r="B14" s="93"/>
      <c r="C14" s="93"/>
      <c r="D14" s="93"/>
      <c r="E14" s="93"/>
      <c r="F14" s="93" t="s">
        <v>417</v>
      </c>
      <c r="G14" s="93"/>
      <c r="H14" s="93"/>
      <c r="I14" s="93"/>
      <c r="J14" s="93"/>
      <c r="K14" s="94"/>
    </row>
    <row r="15" spans="1:11" ht="12.75">
      <c r="A15" s="92"/>
      <c r="B15" s="93"/>
      <c r="C15" s="93"/>
      <c r="D15" s="93"/>
      <c r="E15" s="93"/>
      <c r="F15" s="93" t="s">
        <v>418</v>
      </c>
      <c r="G15" s="93"/>
      <c r="H15" s="93"/>
      <c r="I15" s="93"/>
      <c r="J15" s="93"/>
      <c r="K15" s="94"/>
    </row>
    <row r="16" spans="1:11" ht="12.75">
      <c r="A16" s="206" t="s">
        <v>419</v>
      </c>
      <c r="B16" s="207">
        <v>100</v>
      </c>
      <c r="C16" s="207">
        <v>5</v>
      </c>
      <c r="D16" s="207">
        <v>60</v>
      </c>
      <c r="E16" s="207">
        <f aca="true" t="shared" si="0" ref="E16:E30">B16-D16</f>
        <v>40</v>
      </c>
      <c r="F16" s="208">
        <v>0.3</v>
      </c>
      <c r="G16" s="207">
        <f aca="true" t="shared" si="1" ref="G16:G30">D16*F16</f>
        <v>18</v>
      </c>
      <c r="H16" s="207">
        <f aca="true" t="shared" si="2" ref="H16:H30">E16+G16</f>
        <v>58</v>
      </c>
      <c r="I16" s="208">
        <v>0.82</v>
      </c>
      <c r="J16" s="207">
        <f aca="true" t="shared" si="3" ref="J16:J30">H16*I16</f>
        <v>47.559999999999995</v>
      </c>
      <c r="K16" s="208">
        <f>J16/B16</f>
        <v>0.47559999999999997</v>
      </c>
    </row>
    <row r="17" spans="1:11" ht="12.75">
      <c r="A17" s="87" t="s">
        <v>420</v>
      </c>
      <c r="B17" s="228">
        <v>6562</v>
      </c>
      <c r="C17" s="229"/>
      <c r="D17" s="228">
        <v>447</v>
      </c>
      <c r="E17" s="4">
        <f t="shared" si="0"/>
        <v>6115</v>
      </c>
      <c r="F17" s="18">
        <v>0.3</v>
      </c>
      <c r="G17" s="4">
        <f t="shared" si="1"/>
        <v>134.1</v>
      </c>
      <c r="H17" s="4">
        <f t="shared" si="2"/>
        <v>6249.1</v>
      </c>
      <c r="I17" s="18">
        <v>0.82</v>
      </c>
      <c r="J17" s="4">
        <f t="shared" si="3"/>
        <v>5124.262</v>
      </c>
      <c r="K17" s="18">
        <f>J17/B17</f>
        <v>0.7808994209082596</v>
      </c>
    </row>
    <row r="18" spans="1:11" ht="27.75" customHeight="1">
      <c r="A18" s="87" t="s">
        <v>421</v>
      </c>
      <c r="B18" s="229">
        <v>0</v>
      </c>
      <c r="C18" s="229"/>
      <c r="D18" s="229">
        <v>0</v>
      </c>
      <c r="E18" s="4">
        <f t="shared" si="0"/>
        <v>0</v>
      </c>
      <c r="F18" s="18">
        <v>0.3</v>
      </c>
      <c r="G18" s="4">
        <f t="shared" si="1"/>
        <v>0</v>
      </c>
      <c r="H18" s="4">
        <f t="shared" si="2"/>
        <v>0</v>
      </c>
      <c r="I18" s="18">
        <v>0.82</v>
      </c>
      <c r="J18" s="4">
        <f t="shared" si="3"/>
        <v>0</v>
      </c>
      <c r="K18" s="18">
        <f aca="true" t="shared" si="4" ref="K18:K30">IF(B18&gt;0,J18/B18,1)</f>
        <v>1</v>
      </c>
    </row>
    <row r="19" spans="1:11" ht="25.5">
      <c r="A19" s="87" t="s">
        <v>422</v>
      </c>
      <c r="B19" s="229">
        <v>0</v>
      </c>
      <c r="C19" s="229"/>
      <c r="D19" s="229">
        <v>0</v>
      </c>
      <c r="E19" s="4">
        <f t="shared" si="0"/>
        <v>0</v>
      </c>
      <c r="F19" s="18">
        <v>0.3</v>
      </c>
      <c r="G19" s="4">
        <f t="shared" si="1"/>
        <v>0</v>
      </c>
      <c r="H19" s="4">
        <f t="shared" si="2"/>
        <v>0</v>
      </c>
      <c r="I19" s="18">
        <v>0.82</v>
      </c>
      <c r="J19" s="4">
        <f t="shared" si="3"/>
        <v>0</v>
      </c>
      <c r="K19" s="18">
        <f t="shared" si="4"/>
        <v>1</v>
      </c>
    </row>
    <row r="20" spans="1:11" ht="12.75">
      <c r="A20" s="87" t="s">
        <v>20</v>
      </c>
      <c r="B20" s="229">
        <v>0</v>
      </c>
      <c r="C20" s="229"/>
      <c r="D20" s="229">
        <v>0</v>
      </c>
      <c r="E20" s="4">
        <f t="shared" si="0"/>
        <v>0</v>
      </c>
      <c r="F20" s="18">
        <v>0.3</v>
      </c>
      <c r="G20" s="4">
        <f t="shared" si="1"/>
        <v>0</v>
      </c>
      <c r="H20" s="4">
        <f t="shared" si="2"/>
        <v>0</v>
      </c>
      <c r="I20" s="18">
        <v>0.82</v>
      </c>
      <c r="J20" s="4">
        <f t="shared" si="3"/>
        <v>0</v>
      </c>
      <c r="K20" s="18">
        <f t="shared" si="4"/>
        <v>1</v>
      </c>
    </row>
    <row r="21" spans="1:11" ht="12.75">
      <c r="A21" s="87" t="s">
        <v>423</v>
      </c>
      <c r="B21" s="229">
        <v>0</v>
      </c>
      <c r="C21" s="229"/>
      <c r="D21" s="229">
        <v>0</v>
      </c>
      <c r="E21" s="4">
        <f t="shared" si="0"/>
        <v>0</v>
      </c>
      <c r="F21" s="18">
        <v>0.3</v>
      </c>
      <c r="G21" s="4">
        <f t="shared" si="1"/>
        <v>0</v>
      </c>
      <c r="H21" s="4">
        <f t="shared" si="2"/>
        <v>0</v>
      </c>
      <c r="I21" s="18">
        <v>0.82</v>
      </c>
      <c r="J21" s="4">
        <f t="shared" si="3"/>
        <v>0</v>
      </c>
      <c r="K21" s="18">
        <f t="shared" si="4"/>
        <v>1</v>
      </c>
    </row>
    <row r="22" spans="1:11" ht="12.75">
      <c r="A22" s="87" t="s">
        <v>424</v>
      </c>
      <c r="B22" s="229">
        <v>19732</v>
      </c>
      <c r="C22" s="229"/>
      <c r="D22" s="229">
        <v>9758</v>
      </c>
      <c r="E22" s="4">
        <f t="shared" si="0"/>
        <v>9974</v>
      </c>
      <c r="F22" s="18">
        <v>0.3</v>
      </c>
      <c r="G22" s="4">
        <f t="shared" si="1"/>
        <v>2927.4</v>
      </c>
      <c r="H22" s="4">
        <f t="shared" si="2"/>
        <v>12901.4</v>
      </c>
      <c r="I22" s="18">
        <v>0.82</v>
      </c>
      <c r="J22" s="4">
        <f t="shared" si="3"/>
        <v>10579.148</v>
      </c>
      <c r="K22" s="18">
        <f t="shared" si="4"/>
        <v>0.5361416987634299</v>
      </c>
    </row>
    <row r="23" spans="1:11" ht="12.75">
      <c r="A23" s="87" t="s">
        <v>425</v>
      </c>
      <c r="B23" s="229">
        <v>0</v>
      </c>
      <c r="C23" s="229"/>
      <c r="D23" s="229">
        <v>0</v>
      </c>
      <c r="E23" s="4">
        <f t="shared" si="0"/>
        <v>0</v>
      </c>
      <c r="F23" s="18">
        <v>0.35</v>
      </c>
      <c r="G23" s="4">
        <f t="shared" si="1"/>
        <v>0</v>
      </c>
      <c r="H23" s="4">
        <f t="shared" si="2"/>
        <v>0</v>
      </c>
      <c r="I23" s="18">
        <v>0.82</v>
      </c>
      <c r="J23" s="4">
        <f t="shared" si="3"/>
        <v>0</v>
      </c>
      <c r="K23" s="18">
        <f t="shared" si="4"/>
        <v>1</v>
      </c>
    </row>
    <row r="24" spans="1:11" ht="12.75">
      <c r="A24" s="87" t="s">
        <v>426</v>
      </c>
      <c r="B24" s="229">
        <v>0</v>
      </c>
      <c r="C24" s="229"/>
      <c r="D24" s="229">
        <v>0</v>
      </c>
      <c r="E24" s="4">
        <f t="shared" si="0"/>
        <v>0</v>
      </c>
      <c r="F24" s="18">
        <v>0.35</v>
      </c>
      <c r="G24" s="4">
        <f t="shared" si="1"/>
        <v>0</v>
      </c>
      <c r="H24" s="4">
        <f t="shared" si="2"/>
        <v>0</v>
      </c>
      <c r="I24" s="18">
        <v>0.82</v>
      </c>
      <c r="J24" s="4">
        <f t="shared" si="3"/>
        <v>0</v>
      </c>
      <c r="K24" s="18">
        <f t="shared" si="4"/>
        <v>1</v>
      </c>
    </row>
    <row r="25" spans="1:11" ht="12.75">
      <c r="A25" s="87" t="s">
        <v>427</v>
      </c>
      <c r="B25" s="229">
        <v>0</v>
      </c>
      <c r="C25" s="229"/>
      <c r="D25" s="229">
        <v>0</v>
      </c>
      <c r="E25" s="4">
        <f t="shared" si="0"/>
        <v>0</v>
      </c>
      <c r="F25" s="18">
        <v>0.35</v>
      </c>
      <c r="G25" s="4">
        <f t="shared" si="1"/>
        <v>0</v>
      </c>
      <c r="H25" s="4">
        <f t="shared" si="2"/>
        <v>0</v>
      </c>
      <c r="I25" s="18">
        <v>0.82</v>
      </c>
      <c r="J25" s="4">
        <f t="shared" si="3"/>
        <v>0</v>
      </c>
      <c r="K25" s="18">
        <f t="shared" si="4"/>
        <v>1</v>
      </c>
    </row>
    <row r="26" spans="1:11" ht="12.75">
      <c r="A26" s="209" t="s">
        <v>428</v>
      </c>
      <c r="B26" s="229">
        <v>0</v>
      </c>
      <c r="C26" s="229"/>
      <c r="D26" s="229">
        <v>0</v>
      </c>
      <c r="E26" s="210">
        <f t="shared" si="0"/>
        <v>0</v>
      </c>
      <c r="F26" s="211">
        <v>0.3</v>
      </c>
      <c r="G26" s="210">
        <f t="shared" si="1"/>
        <v>0</v>
      </c>
      <c r="H26" s="210">
        <f t="shared" si="2"/>
        <v>0</v>
      </c>
      <c r="I26" s="211">
        <v>0.82</v>
      </c>
      <c r="J26" s="210">
        <f t="shared" si="3"/>
        <v>0</v>
      </c>
      <c r="K26" s="211">
        <f t="shared" si="4"/>
        <v>1</v>
      </c>
    </row>
    <row r="27" spans="1:11" ht="12.75">
      <c r="A27" s="87" t="s">
        <v>429</v>
      </c>
      <c r="B27" s="229">
        <v>4712</v>
      </c>
      <c r="C27" s="229"/>
      <c r="D27" s="229">
        <v>1483</v>
      </c>
      <c r="E27" s="4">
        <f t="shared" si="0"/>
        <v>3229</v>
      </c>
      <c r="F27" s="18">
        <v>0.31</v>
      </c>
      <c r="G27" s="4">
        <f t="shared" si="1"/>
        <v>459.73</v>
      </c>
      <c r="H27" s="4">
        <f t="shared" si="2"/>
        <v>3688.73</v>
      </c>
      <c r="I27" s="18">
        <v>0.82</v>
      </c>
      <c r="J27" s="4">
        <f t="shared" si="3"/>
        <v>3024.7585999999997</v>
      </c>
      <c r="K27" s="18">
        <f t="shared" si="4"/>
        <v>0.6419266977928691</v>
      </c>
    </row>
    <row r="28" spans="1:11" ht="25.5">
      <c r="A28" s="87" t="s">
        <v>451</v>
      </c>
      <c r="B28" s="229">
        <v>0</v>
      </c>
      <c r="C28" s="229"/>
      <c r="D28" s="229">
        <v>0</v>
      </c>
      <c r="E28" s="4">
        <f>B28-D28</f>
        <v>0</v>
      </c>
      <c r="F28" s="18">
        <v>0.23</v>
      </c>
      <c r="G28" s="4">
        <f>D28*F28</f>
        <v>0</v>
      </c>
      <c r="H28" s="4">
        <f>E28+G28</f>
        <v>0</v>
      </c>
      <c r="I28" s="18">
        <v>0.82</v>
      </c>
      <c r="J28" s="4">
        <f>H28*I28</f>
        <v>0</v>
      </c>
      <c r="K28" s="18">
        <f>IF(B28&gt;0,J28/B28,1)</f>
        <v>1</v>
      </c>
    </row>
    <row r="29" spans="1:11" ht="39.75" customHeight="1">
      <c r="A29" s="87" t="s">
        <v>452</v>
      </c>
      <c r="B29" s="230">
        <v>1864</v>
      </c>
      <c r="C29" s="229"/>
      <c r="D29" s="230">
        <v>561</v>
      </c>
      <c r="E29" s="4">
        <f t="shared" si="0"/>
        <v>1303</v>
      </c>
      <c r="F29" s="18">
        <v>0.23</v>
      </c>
      <c r="G29" s="4">
        <f t="shared" si="1"/>
        <v>129.03</v>
      </c>
      <c r="H29" s="4">
        <f t="shared" si="2"/>
        <v>1432.03</v>
      </c>
      <c r="I29" s="18">
        <v>0.82</v>
      </c>
      <c r="J29" s="4">
        <f t="shared" si="3"/>
        <v>1174.2646</v>
      </c>
      <c r="K29" s="18">
        <f t="shared" si="4"/>
        <v>0.629970278969957</v>
      </c>
    </row>
    <row r="30" spans="1:11" ht="40.5" customHeight="1">
      <c r="A30" s="87" t="s">
        <v>430</v>
      </c>
      <c r="B30" s="229">
        <v>25916</v>
      </c>
      <c r="C30" s="229"/>
      <c r="D30" s="229">
        <v>12040</v>
      </c>
      <c r="E30" s="4">
        <f t="shared" si="0"/>
        <v>13876</v>
      </c>
      <c r="F30" s="18">
        <v>0.23</v>
      </c>
      <c r="G30" s="4">
        <f t="shared" si="1"/>
        <v>2769.2000000000003</v>
      </c>
      <c r="H30" s="4">
        <f t="shared" si="2"/>
        <v>16645.2</v>
      </c>
      <c r="I30" s="18">
        <v>0.82</v>
      </c>
      <c r="J30" s="4">
        <f t="shared" si="3"/>
        <v>13649.064</v>
      </c>
      <c r="K30" s="18">
        <f t="shared" si="4"/>
        <v>0.5266655348047539</v>
      </c>
    </row>
    <row r="32" spans="1:11" ht="25.5">
      <c r="A32" s="88" t="s">
        <v>431</v>
      </c>
      <c r="B32" s="88"/>
      <c r="C32" s="88"/>
      <c r="D32" s="88"/>
      <c r="E32" s="88"/>
      <c r="F32" s="88"/>
      <c r="G32" s="88"/>
      <c r="H32" s="88"/>
      <c r="I32" s="88"/>
      <c r="J32" s="88"/>
      <c r="K32" s="88"/>
    </row>
    <row r="35" ht="12.75">
      <c r="A35" t="s">
        <v>477</v>
      </c>
    </row>
    <row r="37" spans="1:3" ht="12.75">
      <c r="A37" t="s">
        <v>478</v>
      </c>
      <c r="C37" t="s">
        <v>479</v>
      </c>
    </row>
    <row r="38" spans="1:3" ht="12.75">
      <c r="A38" t="s">
        <v>480</v>
      </c>
      <c r="C38" t="s">
        <v>481</v>
      </c>
    </row>
    <row r="39" spans="1:3" ht="12.75">
      <c r="A39" t="s">
        <v>482</v>
      </c>
      <c r="C39" t="s">
        <v>483</v>
      </c>
    </row>
    <row r="40" spans="1:3" ht="12.75">
      <c r="A40" t="s">
        <v>484</v>
      </c>
      <c r="C40" t="s">
        <v>495</v>
      </c>
    </row>
    <row r="41" spans="1:3" ht="12.75">
      <c r="A41" t="s">
        <v>485</v>
      </c>
      <c r="C41" t="s">
        <v>486</v>
      </c>
    </row>
  </sheetData>
  <printOptions/>
  <pageMargins left="0.57" right="0.54" top="0.75" bottom="0.38" header="0.25" footer="0.34"/>
  <pageSetup fitToHeight="1" fitToWidth="1" horizontalDpi="600" verticalDpi="600" orientation="landscape" r:id="rId1"/>
  <headerFooter alignWithMargins="0">
    <oddHeader>&amp;LRRCA 
Compact Accounting&amp;RPage &amp;P of &amp;N</oddHeader>
  </headerFooter>
</worksheet>
</file>

<file path=xl/worksheets/sheet25.xml><?xml version="1.0" encoding="utf-8"?>
<worksheet xmlns="http://schemas.openxmlformats.org/spreadsheetml/2006/main" xmlns:r="http://schemas.openxmlformats.org/officeDocument/2006/relationships">
  <dimension ref="A1:Q62"/>
  <sheetViews>
    <sheetView workbookViewId="0" topLeftCell="A1">
      <selection activeCell="A1" sqref="A1:E1"/>
    </sheetView>
  </sheetViews>
  <sheetFormatPr defaultColWidth="9.140625" defaultRowHeight="12.75"/>
  <cols>
    <col min="1" max="1" width="25.421875" style="0" customWidth="1"/>
    <col min="2" max="2" width="13.140625" style="0" customWidth="1"/>
    <col min="3" max="3" width="12.8515625" style="0" customWidth="1"/>
    <col min="4" max="4" width="11.57421875" style="0" customWidth="1"/>
    <col min="5" max="5" width="14.28125" style="0" customWidth="1"/>
    <col min="7" max="7" width="19.28125" style="0" customWidth="1"/>
    <col min="8" max="8" width="11.140625" style="0" customWidth="1"/>
    <col min="9" max="9" width="11.57421875" style="0" customWidth="1"/>
    <col min="10" max="10" width="11.140625" style="0" customWidth="1"/>
    <col min="11" max="11" width="11.00390625" style="0" customWidth="1"/>
    <col min="13" max="13" width="16.8515625" style="0" customWidth="1"/>
    <col min="14" max="14" width="11.00390625" style="0" customWidth="1"/>
    <col min="15" max="15" width="10.421875" style="0" customWidth="1"/>
    <col min="16" max="16" width="11.00390625" style="0" customWidth="1"/>
    <col min="17" max="17" width="11.8515625" style="0" customWidth="1"/>
  </cols>
  <sheetData>
    <row r="1" spans="1:5" ht="37.5" customHeight="1">
      <c r="A1" s="347" t="s">
        <v>502</v>
      </c>
      <c r="B1" s="348"/>
      <c r="C1" s="348"/>
      <c r="D1" s="348"/>
      <c r="E1" s="349"/>
    </row>
    <row r="2" spans="1:5" ht="13.5" customHeight="1">
      <c r="A2" s="350" t="s">
        <v>259</v>
      </c>
      <c r="B2" s="76" t="s">
        <v>0</v>
      </c>
      <c r="C2" s="76" t="s">
        <v>178</v>
      </c>
      <c r="D2" s="76" t="s">
        <v>1</v>
      </c>
      <c r="E2" s="76" t="s">
        <v>1</v>
      </c>
    </row>
    <row r="3" spans="1:5" ht="13.5" customHeight="1">
      <c r="A3" s="351"/>
      <c r="B3" s="77" t="s">
        <v>260</v>
      </c>
      <c r="C3" s="77" t="s">
        <v>260</v>
      </c>
      <c r="D3" s="77" t="s">
        <v>260</v>
      </c>
      <c r="E3" s="77" t="s">
        <v>261</v>
      </c>
    </row>
    <row r="4" spans="1:5" ht="13.5" customHeight="1">
      <c r="A4" s="78" t="s">
        <v>15</v>
      </c>
      <c r="B4" s="268">
        <v>811</v>
      </c>
      <c r="C4" s="268">
        <v>122</v>
      </c>
      <c r="D4" s="268">
        <v>250</v>
      </c>
      <c r="E4" s="268">
        <v>0</v>
      </c>
    </row>
    <row r="5" spans="1:5" ht="13.5" customHeight="1">
      <c r="A5" s="78" t="s">
        <v>22</v>
      </c>
      <c r="B5" s="268">
        <v>0</v>
      </c>
      <c r="C5" s="268">
        <v>1519</v>
      </c>
      <c r="D5" s="268">
        <v>2684</v>
      </c>
      <c r="E5" s="268">
        <v>0</v>
      </c>
    </row>
    <row r="6" spans="1:5" ht="13.5" customHeight="1">
      <c r="A6" s="78" t="s">
        <v>16</v>
      </c>
      <c r="B6" s="268">
        <v>306</v>
      </c>
      <c r="C6" s="268">
        <v>0</v>
      </c>
      <c r="D6" s="268">
        <v>3357</v>
      </c>
      <c r="E6" s="268">
        <v>0</v>
      </c>
    </row>
    <row r="7" spans="1:5" ht="13.5" customHeight="1">
      <c r="A7" s="78" t="s">
        <v>19</v>
      </c>
      <c r="B7" s="268">
        <v>0</v>
      </c>
      <c r="C7" s="268">
        <v>0</v>
      </c>
      <c r="D7" s="268">
        <v>1481</v>
      </c>
      <c r="E7" s="268">
        <v>0</v>
      </c>
    </row>
    <row r="8" spans="1:5" ht="13.5" customHeight="1">
      <c r="A8" s="78" t="s">
        <v>18</v>
      </c>
      <c r="B8" s="268">
        <v>42</v>
      </c>
      <c r="C8" s="268">
        <v>0</v>
      </c>
      <c r="D8" s="268">
        <v>78069</v>
      </c>
      <c r="E8" s="268">
        <v>0</v>
      </c>
    </row>
    <row r="9" spans="1:5" ht="13.5" customHeight="1">
      <c r="A9" s="78" t="s">
        <v>14</v>
      </c>
      <c r="B9" s="268">
        <v>14359</v>
      </c>
      <c r="C9" s="268">
        <v>17</v>
      </c>
      <c r="D9" s="268">
        <v>1443</v>
      </c>
      <c r="E9" s="268">
        <v>0</v>
      </c>
    </row>
    <row r="10" spans="1:5" ht="13.5" customHeight="1">
      <c r="A10" s="78" t="s">
        <v>262</v>
      </c>
      <c r="B10" s="268">
        <v>-1967</v>
      </c>
      <c r="C10" s="268">
        <v>103</v>
      </c>
      <c r="D10" s="268">
        <v>10992</v>
      </c>
      <c r="E10" s="268">
        <v>0</v>
      </c>
    </row>
    <row r="11" spans="1:5" ht="13.5" customHeight="1">
      <c r="A11" s="78" t="s">
        <v>263</v>
      </c>
      <c r="B11" s="268">
        <v>0</v>
      </c>
      <c r="C11" s="268">
        <v>70</v>
      </c>
      <c r="D11" s="268">
        <v>39772</v>
      </c>
      <c r="E11" s="268">
        <v>2061</v>
      </c>
    </row>
    <row r="12" spans="1:5" ht="13.5" customHeight="1">
      <c r="A12" s="78" t="s">
        <v>264</v>
      </c>
      <c r="B12" s="268">
        <v>0</v>
      </c>
      <c r="C12" s="268">
        <v>0</v>
      </c>
      <c r="D12" s="268">
        <v>29058</v>
      </c>
      <c r="E12" s="268">
        <v>219</v>
      </c>
    </row>
    <row r="13" spans="1:5" ht="13.5" customHeight="1">
      <c r="A13" s="78" t="s">
        <v>265</v>
      </c>
      <c r="B13" s="268">
        <v>0</v>
      </c>
      <c r="C13" s="268">
        <v>64</v>
      </c>
      <c r="D13" s="268">
        <v>2956</v>
      </c>
      <c r="E13" s="268">
        <v>0</v>
      </c>
    </row>
    <row r="14" spans="1:5" ht="13.5" customHeight="1">
      <c r="A14" s="78" t="s">
        <v>21</v>
      </c>
      <c r="B14" s="268">
        <v>0</v>
      </c>
      <c r="C14" s="268">
        <v>0</v>
      </c>
      <c r="D14" s="268">
        <v>20414</v>
      </c>
      <c r="E14" s="268">
        <v>9633</v>
      </c>
    </row>
    <row r="15" spans="1:5" ht="13.5" customHeight="1">
      <c r="A15" s="78" t="s">
        <v>24</v>
      </c>
      <c r="B15" s="268">
        <v>0</v>
      </c>
      <c r="C15" s="268">
        <v>5265</v>
      </c>
      <c r="D15" s="268">
        <v>0</v>
      </c>
      <c r="E15" s="268">
        <v>0</v>
      </c>
    </row>
    <row r="16" spans="1:5" ht="13.5" customHeight="1">
      <c r="A16" s="78" t="s">
        <v>20</v>
      </c>
      <c r="B16" s="268">
        <v>0</v>
      </c>
      <c r="C16" s="268">
        <v>0</v>
      </c>
      <c r="D16" s="268">
        <v>6596</v>
      </c>
      <c r="E16" s="268">
        <v>35</v>
      </c>
    </row>
    <row r="17" spans="1:5" ht="13.5" customHeight="1">
      <c r="A17" s="78" t="s">
        <v>5</v>
      </c>
      <c r="B17" s="268">
        <v>61</v>
      </c>
      <c r="C17" s="268">
        <v>0</v>
      </c>
      <c r="D17" s="268">
        <v>3744</v>
      </c>
      <c r="E17" s="268">
        <v>0</v>
      </c>
    </row>
    <row r="18" spans="1:5" ht="13.5" customHeight="1">
      <c r="A18" s="78" t="s">
        <v>23</v>
      </c>
      <c r="B18" s="268">
        <v>0</v>
      </c>
      <c r="C18" s="268">
        <v>-1462</v>
      </c>
      <c r="D18" s="268">
        <v>702</v>
      </c>
      <c r="E18" s="268">
        <v>0</v>
      </c>
    </row>
    <row r="19" spans="1:5" ht="13.5" customHeight="1">
      <c r="A19" s="78" t="s">
        <v>17</v>
      </c>
      <c r="B19" s="268">
        <v>13679</v>
      </c>
      <c r="C19" s="268">
        <v>7227</v>
      </c>
      <c r="D19" s="268">
        <v>1372</v>
      </c>
      <c r="E19" s="268">
        <v>0</v>
      </c>
    </row>
    <row r="20" spans="1:5" ht="13.5" customHeight="1">
      <c r="A20" s="78" t="s">
        <v>266</v>
      </c>
      <c r="B20" s="268">
        <v>0</v>
      </c>
      <c r="C20" s="268">
        <v>0</v>
      </c>
      <c r="D20" s="268">
        <v>1709</v>
      </c>
      <c r="E20" s="268">
        <v>0</v>
      </c>
    </row>
    <row r="21" spans="1:5" ht="13.5" customHeight="1">
      <c r="A21" s="78" t="s">
        <v>267</v>
      </c>
      <c r="B21" s="268">
        <v>1273</v>
      </c>
      <c r="C21" s="268">
        <v>0</v>
      </c>
      <c r="D21" s="268">
        <v>0</v>
      </c>
      <c r="E21" s="268">
        <v>0</v>
      </c>
    </row>
    <row r="22" spans="1:5" ht="13.5" customHeight="1">
      <c r="A22" s="78" t="s">
        <v>268</v>
      </c>
      <c r="B22" s="268">
        <v>0</v>
      </c>
      <c r="C22" s="268">
        <v>510</v>
      </c>
      <c r="D22" s="268">
        <v>0</v>
      </c>
      <c r="E22" s="268">
        <v>0</v>
      </c>
    </row>
    <row r="23" spans="1:5" ht="13.5" customHeight="1">
      <c r="A23" s="78" t="s">
        <v>269</v>
      </c>
      <c r="B23" s="268">
        <v>0</v>
      </c>
      <c r="C23" s="268">
        <v>0</v>
      </c>
      <c r="D23" s="268">
        <v>4650</v>
      </c>
      <c r="E23" s="268">
        <v>0</v>
      </c>
    </row>
    <row r="24" spans="1:5" ht="13.5" customHeight="1">
      <c r="A24" s="78" t="s">
        <v>270</v>
      </c>
      <c r="B24" s="268">
        <v>0</v>
      </c>
      <c r="C24" s="268">
        <v>34</v>
      </c>
      <c r="D24" s="268">
        <v>857</v>
      </c>
      <c r="E24" s="268">
        <v>17</v>
      </c>
    </row>
    <row r="25" spans="1:5" ht="13.5" customHeight="1">
      <c r="A25" s="78" t="s">
        <v>271</v>
      </c>
      <c r="B25" s="268">
        <v>0</v>
      </c>
      <c r="C25" s="268">
        <v>0</v>
      </c>
      <c r="D25" s="268">
        <v>352</v>
      </c>
      <c r="E25" s="268">
        <v>0</v>
      </c>
    </row>
    <row r="26" spans="1:5" ht="13.5" customHeight="1">
      <c r="A26" s="78" t="s">
        <v>272</v>
      </c>
      <c r="B26" s="268">
        <v>13</v>
      </c>
      <c r="C26" s="268">
        <v>0</v>
      </c>
      <c r="D26" s="268">
        <v>421</v>
      </c>
      <c r="E26" s="268">
        <v>0</v>
      </c>
    </row>
    <row r="27" spans="1:5" ht="13.5" customHeight="1">
      <c r="A27" s="79" t="s">
        <v>273</v>
      </c>
      <c r="B27" s="269">
        <v>-1975</v>
      </c>
      <c r="C27" s="269">
        <v>242</v>
      </c>
      <c r="D27" s="269">
        <v>82778</v>
      </c>
      <c r="E27" s="269">
        <v>2274</v>
      </c>
    </row>
    <row r="28" spans="1:5" ht="13.5" customHeight="1">
      <c r="A28" s="79" t="s">
        <v>4</v>
      </c>
      <c r="B28" s="269">
        <v>28571</v>
      </c>
      <c r="C28" s="269">
        <v>13483</v>
      </c>
      <c r="D28" s="269">
        <v>210881</v>
      </c>
      <c r="E28" s="269">
        <v>11966</v>
      </c>
    </row>
    <row r="29" spans="1:5" ht="25.5">
      <c r="A29" s="163" t="s">
        <v>274</v>
      </c>
      <c r="B29" s="2">
        <f>B10+B11+B12+B13+B24+B26</f>
        <v>-1954</v>
      </c>
      <c r="C29" s="2">
        <f>C10+C11+C12+C13+C24+C26</f>
        <v>271</v>
      </c>
      <c r="D29" s="2">
        <f>D10+D11+D12+D13+D24+D26</f>
        <v>84056</v>
      </c>
      <c r="E29" s="2">
        <f>E10+E11+E12+E13+E24+E26</f>
        <v>2297</v>
      </c>
    </row>
    <row r="30" spans="1:5" ht="12.75">
      <c r="A30" s="163" t="s">
        <v>277</v>
      </c>
      <c r="B30" s="2"/>
      <c r="C30" s="2"/>
      <c r="D30" s="2">
        <f>D29-D13</f>
        <v>81100</v>
      </c>
      <c r="E30" s="2">
        <f>E29-E13</f>
        <v>2297</v>
      </c>
    </row>
    <row r="31" spans="1:5" ht="12.75">
      <c r="A31" s="163" t="s">
        <v>278</v>
      </c>
      <c r="B31" s="2">
        <f>SUM(B4:B26)</f>
        <v>28577</v>
      </c>
      <c r="C31" s="2">
        <f>SUM(C4:C26)</f>
        <v>13469</v>
      </c>
      <c r="D31" s="2">
        <f>SUM(D4:D26)</f>
        <v>210879</v>
      </c>
      <c r="E31" s="2">
        <f>SUM(E4:E26)</f>
        <v>11965</v>
      </c>
    </row>
    <row r="35" spans="1:17" ht="60" customHeight="1">
      <c r="A35" s="347" t="s">
        <v>568</v>
      </c>
      <c r="B35" s="348"/>
      <c r="C35" s="348"/>
      <c r="D35" s="348"/>
      <c r="E35" s="349"/>
      <c r="G35" s="347" t="s">
        <v>569</v>
      </c>
      <c r="H35" s="348"/>
      <c r="I35" s="348"/>
      <c r="J35" s="348"/>
      <c r="K35" s="349"/>
      <c r="M35" s="347" t="s">
        <v>502</v>
      </c>
      <c r="N35" s="348"/>
      <c r="O35" s="348"/>
      <c r="P35" s="348"/>
      <c r="Q35" s="349"/>
    </row>
    <row r="36" spans="1:17" ht="25.5" customHeight="1">
      <c r="A36" s="350" t="s">
        <v>259</v>
      </c>
      <c r="B36" s="76" t="s">
        <v>0</v>
      </c>
      <c r="C36" s="76" t="s">
        <v>178</v>
      </c>
      <c r="D36" s="76" t="s">
        <v>1</v>
      </c>
      <c r="E36" s="76" t="s">
        <v>1</v>
      </c>
      <c r="G36" s="350" t="s">
        <v>259</v>
      </c>
      <c r="H36" s="76" t="s">
        <v>0</v>
      </c>
      <c r="I36" s="76" t="s">
        <v>178</v>
      </c>
      <c r="J36" s="76" t="s">
        <v>1</v>
      </c>
      <c r="K36" s="76" t="s">
        <v>1</v>
      </c>
      <c r="M36" s="350" t="s">
        <v>259</v>
      </c>
      <c r="N36" s="76" t="s">
        <v>0</v>
      </c>
      <c r="O36" s="76" t="s">
        <v>178</v>
      </c>
      <c r="P36" s="76" t="s">
        <v>1</v>
      </c>
      <c r="Q36" s="76" t="s">
        <v>1</v>
      </c>
    </row>
    <row r="37" spans="1:17" ht="12.75">
      <c r="A37" s="351"/>
      <c r="B37" s="77" t="s">
        <v>260</v>
      </c>
      <c r="C37" s="77" t="s">
        <v>260</v>
      </c>
      <c r="D37" s="77" t="s">
        <v>260</v>
      </c>
      <c r="E37" s="77" t="s">
        <v>261</v>
      </c>
      <c r="G37" s="351"/>
      <c r="H37" s="77" t="s">
        <v>260</v>
      </c>
      <c r="I37" s="77" t="s">
        <v>260</v>
      </c>
      <c r="J37" s="77" t="s">
        <v>260</v>
      </c>
      <c r="K37" s="77" t="s">
        <v>261</v>
      </c>
      <c r="M37" s="351"/>
      <c r="N37" s="77" t="s">
        <v>260</v>
      </c>
      <c r="O37" s="77" t="s">
        <v>260</v>
      </c>
      <c r="P37" s="77" t="s">
        <v>260</v>
      </c>
      <c r="Q37" s="77" t="s">
        <v>261</v>
      </c>
    </row>
    <row r="38" spans="1:17" ht="12.75">
      <c r="A38" s="78" t="s">
        <v>15</v>
      </c>
      <c r="B38" s="268">
        <v>242</v>
      </c>
      <c r="C38" s="268">
        <v>100</v>
      </c>
      <c r="D38" s="268">
        <v>507</v>
      </c>
      <c r="E38" s="268">
        <v>0</v>
      </c>
      <c r="G38" s="78" t="s">
        <v>15</v>
      </c>
      <c r="H38" s="268">
        <v>353</v>
      </c>
      <c r="I38" s="268">
        <v>116</v>
      </c>
      <c r="J38" s="268">
        <v>431</v>
      </c>
      <c r="K38" s="268">
        <v>0</v>
      </c>
      <c r="M38" s="78" t="s">
        <v>15</v>
      </c>
      <c r="N38" s="268">
        <v>811</v>
      </c>
      <c r="O38" s="268">
        <v>122</v>
      </c>
      <c r="P38" s="268">
        <v>250</v>
      </c>
      <c r="Q38" s="268">
        <v>0</v>
      </c>
    </row>
    <row r="39" spans="1:17" ht="12.75">
      <c r="A39" s="78" t="s">
        <v>22</v>
      </c>
      <c r="B39" s="268">
        <v>0</v>
      </c>
      <c r="C39" s="268">
        <v>274</v>
      </c>
      <c r="D39" s="268">
        <v>777</v>
      </c>
      <c r="E39" s="268">
        <v>0</v>
      </c>
      <c r="G39" s="78" t="s">
        <v>22</v>
      </c>
      <c r="H39" s="268">
        <v>0</v>
      </c>
      <c r="I39" s="268">
        <v>205</v>
      </c>
      <c r="J39" s="268">
        <v>1278</v>
      </c>
      <c r="K39" s="268">
        <v>0</v>
      </c>
      <c r="M39" s="78" t="s">
        <v>22</v>
      </c>
      <c r="N39" s="268">
        <v>0</v>
      </c>
      <c r="O39" s="268">
        <v>1519</v>
      </c>
      <c r="P39" s="268">
        <v>2684</v>
      </c>
      <c r="Q39" s="268">
        <v>0</v>
      </c>
    </row>
    <row r="40" spans="1:17" ht="12.75">
      <c r="A40" s="78" t="s">
        <v>16</v>
      </c>
      <c r="B40" s="268">
        <v>265</v>
      </c>
      <c r="C40" s="268">
        <v>0</v>
      </c>
      <c r="D40" s="268">
        <v>3338</v>
      </c>
      <c r="E40" s="268">
        <v>0</v>
      </c>
      <c r="G40" s="78" t="s">
        <v>16</v>
      </c>
      <c r="H40" s="268">
        <v>290</v>
      </c>
      <c r="I40" s="268">
        <v>0</v>
      </c>
      <c r="J40" s="268">
        <v>3333</v>
      </c>
      <c r="K40" s="268">
        <v>0</v>
      </c>
      <c r="M40" s="78" t="s">
        <v>16</v>
      </c>
      <c r="N40" s="268">
        <v>306</v>
      </c>
      <c r="O40" s="268">
        <v>0</v>
      </c>
      <c r="P40" s="268">
        <v>3357</v>
      </c>
      <c r="Q40" s="268">
        <v>0</v>
      </c>
    </row>
    <row r="41" spans="1:17" ht="12.75">
      <c r="A41" s="78" t="s">
        <v>19</v>
      </c>
      <c r="B41" s="268">
        <v>0</v>
      </c>
      <c r="C41" s="268">
        <v>0</v>
      </c>
      <c r="D41" s="268">
        <v>1391</v>
      </c>
      <c r="E41" s="268">
        <v>0</v>
      </c>
      <c r="G41" s="78" t="s">
        <v>19</v>
      </c>
      <c r="H41" s="268">
        <v>0</v>
      </c>
      <c r="I41" s="268">
        <v>0</v>
      </c>
      <c r="J41" s="268">
        <v>1479</v>
      </c>
      <c r="K41" s="268">
        <v>0</v>
      </c>
      <c r="M41" s="78" t="s">
        <v>19</v>
      </c>
      <c r="N41" s="268">
        <v>0</v>
      </c>
      <c r="O41" s="268">
        <v>0</v>
      </c>
      <c r="P41" s="268">
        <v>1481</v>
      </c>
      <c r="Q41" s="268">
        <v>0</v>
      </c>
    </row>
    <row r="42" spans="1:17" ht="25.5" customHeight="1">
      <c r="A42" s="78" t="s">
        <v>18</v>
      </c>
      <c r="B42" s="268">
        <v>37</v>
      </c>
      <c r="C42" s="268">
        <v>0</v>
      </c>
      <c r="D42" s="268">
        <v>81210</v>
      </c>
      <c r="E42" s="268">
        <v>0</v>
      </c>
      <c r="G42" s="78" t="s">
        <v>18</v>
      </c>
      <c r="H42" s="268">
        <v>39</v>
      </c>
      <c r="I42" s="268">
        <v>0</v>
      </c>
      <c r="J42" s="268">
        <v>85199</v>
      </c>
      <c r="K42" s="268">
        <v>0</v>
      </c>
      <c r="M42" s="78" t="s">
        <v>18</v>
      </c>
      <c r="N42" s="268">
        <v>42</v>
      </c>
      <c r="O42" s="268">
        <v>0</v>
      </c>
      <c r="P42" s="268">
        <v>78069</v>
      </c>
      <c r="Q42" s="268">
        <v>0</v>
      </c>
    </row>
    <row r="43" spans="1:17" ht="25.5" customHeight="1">
      <c r="A43" s="78" t="s">
        <v>14</v>
      </c>
      <c r="B43" s="268">
        <v>14023</v>
      </c>
      <c r="C43" s="268">
        <v>17</v>
      </c>
      <c r="D43" s="268">
        <v>1402</v>
      </c>
      <c r="E43" s="268">
        <v>0</v>
      </c>
      <c r="G43" s="78" t="s">
        <v>14</v>
      </c>
      <c r="H43" s="268">
        <v>14373</v>
      </c>
      <c r="I43" s="268">
        <v>16</v>
      </c>
      <c r="J43" s="268">
        <v>1446</v>
      </c>
      <c r="K43" s="268">
        <v>0</v>
      </c>
      <c r="M43" s="78" t="s">
        <v>14</v>
      </c>
      <c r="N43" s="268">
        <v>14359</v>
      </c>
      <c r="O43" s="268">
        <v>17</v>
      </c>
      <c r="P43" s="268">
        <v>1443</v>
      </c>
      <c r="Q43" s="268">
        <v>0</v>
      </c>
    </row>
    <row r="44" spans="1:17" ht="25.5" customHeight="1">
      <c r="A44" s="78" t="s">
        <v>262</v>
      </c>
      <c r="B44" s="268">
        <v>112</v>
      </c>
      <c r="C44" s="268">
        <v>-40</v>
      </c>
      <c r="D44" s="268">
        <v>17979</v>
      </c>
      <c r="E44" s="268">
        <v>0</v>
      </c>
      <c r="G44" s="78" t="s">
        <v>262</v>
      </c>
      <c r="H44" s="268">
        <v>-1287</v>
      </c>
      <c r="I44" s="268">
        <v>201</v>
      </c>
      <c r="J44" s="268">
        <v>13809</v>
      </c>
      <c r="K44" s="268">
        <v>0</v>
      </c>
      <c r="M44" s="78" t="s">
        <v>262</v>
      </c>
      <c r="N44" s="268">
        <v>-1967</v>
      </c>
      <c r="O44" s="268">
        <v>103</v>
      </c>
      <c r="P44" s="268">
        <v>10992</v>
      </c>
      <c r="Q44" s="268">
        <v>0</v>
      </c>
    </row>
    <row r="45" spans="1:17" ht="25.5" customHeight="1">
      <c r="A45" s="78" t="s">
        <v>263</v>
      </c>
      <c r="B45" s="268">
        <v>0</v>
      </c>
      <c r="C45" s="268">
        <v>53</v>
      </c>
      <c r="D45" s="268">
        <v>27271</v>
      </c>
      <c r="E45" s="268">
        <v>144</v>
      </c>
      <c r="G45" s="78" t="s">
        <v>263</v>
      </c>
      <c r="H45" s="268">
        <v>0</v>
      </c>
      <c r="I45" s="268">
        <v>91</v>
      </c>
      <c r="J45" s="268">
        <v>33956</v>
      </c>
      <c r="K45" s="268">
        <v>622</v>
      </c>
      <c r="M45" s="78" t="s">
        <v>263</v>
      </c>
      <c r="N45" s="268">
        <v>0</v>
      </c>
      <c r="O45" s="268">
        <v>70</v>
      </c>
      <c r="P45" s="268">
        <v>39772</v>
      </c>
      <c r="Q45" s="268">
        <v>2061</v>
      </c>
    </row>
    <row r="46" spans="1:17" ht="38.25" customHeight="1">
      <c r="A46" s="78" t="s">
        <v>264</v>
      </c>
      <c r="B46" s="268">
        <v>0</v>
      </c>
      <c r="C46" s="268">
        <v>0</v>
      </c>
      <c r="D46" s="268">
        <v>27709</v>
      </c>
      <c r="E46" s="268">
        <v>181</v>
      </c>
      <c r="G46" s="78" t="s">
        <v>264</v>
      </c>
      <c r="H46" s="268">
        <v>0</v>
      </c>
      <c r="I46" s="268">
        <v>0</v>
      </c>
      <c r="J46" s="268">
        <v>29155</v>
      </c>
      <c r="K46" s="268">
        <v>198</v>
      </c>
      <c r="M46" s="78" t="s">
        <v>264</v>
      </c>
      <c r="N46" s="268">
        <v>0</v>
      </c>
      <c r="O46" s="268">
        <v>0</v>
      </c>
      <c r="P46" s="268">
        <v>29058</v>
      </c>
      <c r="Q46" s="268">
        <v>219</v>
      </c>
    </row>
    <row r="47" spans="1:17" ht="38.25" customHeight="1">
      <c r="A47" s="78" t="s">
        <v>265</v>
      </c>
      <c r="B47" s="268">
        <v>0</v>
      </c>
      <c r="C47" s="268">
        <v>59</v>
      </c>
      <c r="D47" s="268">
        <v>2559</v>
      </c>
      <c r="E47" s="268">
        <v>0</v>
      </c>
      <c r="G47" s="78" t="s">
        <v>265</v>
      </c>
      <c r="H47" s="268">
        <v>0</v>
      </c>
      <c r="I47" s="268">
        <v>71</v>
      </c>
      <c r="J47" s="268">
        <v>2382</v>
      </c>
      <c r="K47" s="268">
        <v>0</v>
      </c>
      <c r="M47" s="78" t="s">
        <v>265</v>
      </c>
      <c r="N47" s="268">
        <v>0</v>
      </c>
      <c r="O47" s="268">
        <v>64</v>
      </c>
      <c r="P47" s="268">
        <v>2956</v>
      </c>
      <c r="Q47" s="268">
        <v>0</v>
      </c>
    </row>
    <row r="48" spans="1:17" ht="12.75">
      <c r="A48" s="78" t="s">
        <v>21</v>
      </c>
      <c r="B48" s="268">
        <v>0</v>
      </c>
      <c r="C48" s="268">
        <v>0</v>
      </c>
      <c r="D48" s="268">
        <v>20684</v>
      </c>
      <c r="E48" s="268">
        <v>9423</v>
      </c>
      <c r="G48" s="78" t="s">
        <v>21</v>
      </c>
      <c r="H48" s="268">
        <v>0</v>
      </c>
      <c r="I48" s="268">
        <v>0</v>
      </c>
      <c r="J48" s="268">
        <v>20898</v>
      </c>
      <c r="K48" s="268">
        <v>9522</v>
      </c>
      <c r="M48" s="78" t="s">
        <v>21</v>
      </c>
      <c r="N48" s="268">
        <v>0</v>
      </c>
      <c r="O48" s="268">
        <v>0</v>
      </c>
      <c r="P48" s="268">
        <v>20414</v>
      </c>
      <c r="Q48" s="268">
        <v>9633</v>
      </c>
    </row>
    <row r="49" spans="1:17" ht="25.5" customHeight="1">
      <c r="A49" s="78" t="s">
        <v>24</v>
      </c>
      <c r="B49" s="268">
        <v>0</v>
      </c>
      <c r="C49" s="268">
        <v>1137</v>
      </c>
      <c r="D49" s="268">
        <v>0</v>
      </c>
      <c r="E49" s="268">
        <v>0</v>
      </c>
      <c r="G49" s="78" t="s">
        <v>24</v>
      </c>
      <c r="H49" s="268">
        <v>0</v>
      </c>
      <c r="I49" s="268">
        <v>1328</v>
      </c>
      <c r="J49" s="268">
        <v>0</v>
      </c>
      <c r="K49" s="268">
        <v>0</v>
      </c>
      <c r="M49" s="78" t="s">
        <v>24</v>
      </c>
      <c r="N49" s="268">
        <v>0</v>
      </c>
      <c r="O49" s="268">
        <v>5265</v>
      </c>
      <c r="P49" s="268">
        <v>0</v>
      </c>
      <c r="Q49" s="268">
        <v>0</v>
      </c>
    </row>
    <row r="50" spans="1:17" ht="25.5" customHeight="1">
      <c r="A50" s="78" t="s">
        <v>20</v>
      </c>
      <c r="B50" s="268">
        <v>0</v>
      </c>
      <c r="C50" s="268">
        <v>0</v>
      </c>
      <c r="D50" s="268">
        <v>6056</v>
      </c>
      <c r="E50" s="268">
        <v>20</v>
      </c>
      <c r="G50" s="78" t="s">
        <v>20</v>
      </c>
      <c r="H50" s="268">
        <v>0</v>
      </c>
      <c r="I50" s="268">
        <v>0</v>
      </c>
      <c r="J50" s="268">
        <v>6448</v>
      </c>
      <c r="K50" s="268">
        <v>25</v>
      </c>
      <c r="M50" s="78" t="s">
        <v>20</v>
      </c>
      <c r="N50" s="268">
        <v>0</v>
      </c>
      <c r="O50" s="268">
        <v>0</v>
      </c>
      <c r="P50" s="268">
        <v>6596</v>
      </c>
      <c r="Q50" s="268">
        <v>35</v>
      </c>
    </row>
    <row r="51" spans="1:17" ht="12.75">
      <c r="A51" s="78" t="s">
        <v>5</v>
      </c>
      <c r="B51" s="268">
        <v>59</v>
      </c>
      <c r="C51" s="268">
        <v>0</v>
      </c>
      <c r="D51" s="268">
        <v>3419</v>
      </c>
      <c r="E51" s="268">
        <v>0</v>
      </c>
      <c r="G51" s="78" t="s">
        <v>5</v>
      </c>
      <c r="H51" s="268">
        <v>58</v>
      </c>
      <c r="I51" s="268">
        <v>0</v>
      </c>
      <c r="J51" s="268">
        <v>3581</v>
      </c>
      <c r="K51" s="268">
        <v>0</v>
      </c>
      <c r="M51" s="78" t="s">
        <v>5</v>
      </c>
      <c r="N51" s="268">
        <v>61</v>
      </c>
      <c r="O51" s="268">
        <v>0</v>
      </c>
      <c r="P51" s="268">
        <v>3744</v>
      </c>
      <c r="Q51" s="268">
        <v>0</v>
      </c>
    </row>
    <row r="52" spans="1:17" ht="12.75">
      <c r="A52" s="78" t="s">
        <v>23</v>
      </c>
      <c r="B52" s="268">
        <v>0</v>
      </c>
      <c r="C52" s="268">
        <v>-274</v>
      </c>
      <c r="D52" s="268">
        <v>500</v>
      </c>
      <c r="E52" s="268">
        <v>0</v>
      </c>
      <c r="G52" s="78" t="s">
        <v>23</v>
      </c>
      <c r="H52" s="268">
        <v>0</v>
      </c>
      <c r="I52" s="268">
        <v>-205</v>
      </c>
      <c r="J52" s="268">
        <v>556</v>
      </c>
      <c r="K52" s="268">
        <v>0</v>
      </c>
      <c r="M52" s="78" t="s">
        <v>23</v>
      </c>
      <c r="N52" s="268">
        <v>0</v>
      </c>
      <c r="O52" s="268">
        <v>-1462</v>
      </c>
      <c r="P52" s="268">
        <v>702</v>
      </c>
      <c r="Q52" s="268">
        <v>0</v>
      </c>
    </row>
    <row r="53" spans="1:17" ht="25.5" customHeight="1">
      <c r="A53" s="78" t="s">
        <v>17</v>
      </c>
      <c r="B53" s="268">
        <v>10790</v>
      </c>
      <c r="C53" s="268">
        <v>5351</v>
      </c>
      <c r="D53" s="268">
        <v>1347</v>
      </c>
      <c r="E53" s="268">
        <v>0</v>
      </c>
      <c r="G53" s="78" t="s">
        <v>17</v>
      </c>
      <c r="H53" s="268">
        <v>11532</v>
      </c>
      <c r="I53" s="268">
        <v>5781</v>
      </c>
      <c r="J53" s="268">
        <v>1202</v>
      </c>
      <c r="K53" s="268">
        <v>0</v>
      </c>
      <c r="M53" s="78" t="s">
        <v>17</v>
      </c>
      <c r="N53" s="268">
        <v>13679</v>
      </c>
      <c r="O53" s="268">
        <v>7227</v>
      </c>
      <c r="P53" s="268">
        <v>1372</v>
      </c>
      <c r="Q53" s="268">
        <v>0</v>
      </c>
    </row>
    <row r="54" spans="1:17" ht="25.5" customHeight="1">
      <c r="A54" s="78" t="s">
        <v>266</v>
      </c>
      <c r="B54" s="268">
        <v>0</v>
      </c>
      <c r="C54" s="268">
        <v>0</v>
      </c>
      <c r="D54" s="268">
        <v>1759</v>
      </c>
      <c r="E54" s="268">
        <v>0</v>
      </c>
      <c r="G54" s="78" t="s">
        <v>266</v>
      </c>
      <c r="H54" s="268">
        <v>0</v>
      </c>
      <c r="I54" s="268">
        <v>0</v>
      </c>
      <c r="J54" s="268">
        <v>1773</v>
      </c>
      <c r="K54" s="268">
        <v>0</v>
      </c>
      <c r="M54" s="78" t="s">
        <v>266</v>
      </c>
      <c r="N54" s="268">
        <v>0</v>
      </c>
      <c r="O54" s="268">
        <v>0</v>
      </c>
      <c r="P54" s="268">
        <v>1709</v>
      </c>
      <c r="Q54" s="268">
        <v>0</v>
      </c>
    </row>
    <row r="55" spans="1:17" ht="12.75">
      <c r="A55" s="78" t="s">
        <v>267</v>
      </c>
      <c r="B55" s="268">
        <v>1325</v>
      </c>
      <c r="C55" s="268">
        <v>0</v>
      </c>
      <c r="D55" s="268">
        <v>0</v>
      </c>
      <c r="E55" s="268">
        <v>0</v>
      </c>
      <c r="G55" s="78" t="s">
        <v>267</v>
      </c>
      <c r="H55" s="268">
        <v>1342</v>
      </c>
      <c r="I55" s="268">
        <v>0</v>
      </c>
      <c r="J55" s="268">
        <v>0</v>
      </c>
      <c r="K55" s="268">
        <v>0</v>
      </c>
      <c r="M55" s="78" t="s">
        <v>267</v>
      </c>
      <c r="N55" s="268">
        <v>1273</v>
      </c>
      <c r="O55" s="268">
        <v>0</v>
      </c>
      <c r="P55" s="268">
        <v>0</v>
      </c>
      <c r="Q55" s="268">
        <v>0</v>
      </c>
    </row>
    <row r="56" spans="1:17" ht="25.5" customHeight="1">
      <c r="A56" s="78" t="s">
        <v>268</v>
      </c>
      <c r="B56" s="268">
        <v>0</v>
      </c>
      <c r="C56" s="268">
        <v>542</v>
      </c>
      <c r="D56" s="268">
        <v>0</v>
      </c>
      <c r="E56" s="268">
        <v>0</v>
      </c>
      <c r="G56" s="78" t="s">
        <v>268</v>
      </c>
      <c r="H56" s="268">
        <v>0</v>
      </c>
      <c r="I56" s="268">
        <v>496</v>
      </c>
      <c r="J56" s="268">
        <v>0</v>
      </c>
      <c r="K56" s="268">
        <v>0</v>
      </c>
      <c r="M56" s="78" t="s">
        <v>268</v>
      </c>
      <c r="N56" s="268">
        <v>0</v>
      </c>
      <c r="O56" s="268">
        <v>510</v>
      </c>
      <c r="P56" s="268">
        <v>0</v>
      </c>
      <c r="Q56" s="268">
        <v>0</v>
      </c>
    </row>
    <row r="57" spans="1:17" ht="12.75">
      <c r="A57" s="78" t="s">
        <v>269</v>
      </c>
      <c r="B57" s="268">
        <v>0</v>
      </c>
      <c r="C57" s="268">
        <v>0</v>
      </c>
      <c r="D57" s="268">
        <v>4437</v>
      </c>
      <c r="E57" s="268">
        <v>0</v>
      </c>
      <c r="G57" s="78" t="s">
        <v>269</v>
      </c>
      <c r="H57" s="268">
        <v>0</v>
      </c>
      <c r="I57" s="268">
        <v>0</v>
      </c>
      <c r="J57" s="268">
        <v>4528</v>
      </c>
      <c r="K57" s="268">
        <v>0</v>
      </c>
      <c r="M57" s="78" t="s">
        <v>269</v>
      </c>
      <c r="N57" s="268">
        <v>0</v>
      </c>
      <c r="O57" s="268">
        <v>0</v>
      </c>
      <c r="P57" s="268">
        <v>4650</v>
      </c>
      <c r="Q57" s="268">
        <v>0</v>
      </c>
    </row>
    <row r="58" spans="1:17" ht="12.75">
      <c r="A58" s="78" t="s">
        <v>270</v>
      </c>
      <c r="B58" s="268">
        <v>0</v>
      </c>
      <c r="C58" s="268">
        <v>38</v>
      </c>
      <c r="D58" s="268">
        <v>881</v>
      </c>
      <c r="E58" s="268">
        <v>12</v>
      </c>
      <c r="G58" s="78" t="s">
        <v>270</v>
      </c>
      <c r="H58" s="268">
        <v>0</v>
      </c>
      <c r="I58" s="268">
        <v>36</v>
      </c>
      <c r="J58" s="268">
        <v>776</v>
      </c>
      <c r="K58" s="268">
        <v>14</v>
      </c>
      <c r="M58" s="78" t="s">
        <v>270</v>
      </c>
      <c r="N58" s="268">
        <v>0</v>
      </c>
      <c r="O58" s="268">
        <v>34</v>
      </c>
      <c r="P58" s="268">
        <v>857</v>
      </c>
      <c r="Q58" s="268">
        <v>17</v>
      </c>
    </row>
    <row r="59" spans="1:17" ht="25.5" customHeight="1">
      <c r="A59" s="78" t="s">
        <v>271</v>
      </c>
      <c r="B59" s="268">
        <v>0</v>
      </c>
      <c r="C59" s="268">
        <v>0</v>
      </c>
      <c r="D59" s="268">
        <v>455</v>
      </c>
      <c r="E59" s="268">
        <v>0</v>
      </c>
      <c r="G59" s="78" t="s">
        <v>271</v>
      </c>
      <c r="H59" s="268">
        <v>0</v>
      </c>
      <c r="I59" s="268">
        <v>0</v>
      </c>
      <c r="J59" s="268">
        <v>398</v>
      </c>
      <c r="K59" s="268">
        <v>0</v>
      </c>
      <c r="M59" s="78" t="s">
        <v>271</v>
      </c>
      <c r="N59" s="268">
        <v>0</v>
      </c>
      <c r="O59" s="268">
        <v>0</v>
      </c>
      <c r="P59" s="268">
        <v>352</v>
      </c>
      <c r="Q59" s="268">
        <v>0</v>
      </c>
    </row>
    <row r="60" spans="1:17" ht="12.75">
      <c r="A60" s="78" t="s">
        <v>272</v>
      </c>
      <c r="B60" s="268">
        <v>20</v>
      </c>
      <c r="C60" s="268">
        <v>0</v>
      </c>
      <c r="D60" s="268">
        <v>483</v>
      </c>
      <c r="E60" s="268">
        <v>0</v>
      </c>
      <c r="G60" s="78" t="s">
        <v>272</v>
      </c>
      <c r="H60" s="268">
        <v>18</v>
      </c>
      <c r="I60" s="268">
        <v>0</v>
      </c>
      <c r="J60" s="268">
        <v>487</v>
      </c>
      <c r="K60" s="268">
        <v>0</v>
      </c>
      <c r="M60" s="78" t="s">
        <v>272</v>
      </c>
      <c r="N60" s="268">
        <v>13</v>
      </c>
      <c r="O60" s="268">
        <v>0</v>
      </c>
      <c r="P60" s="268">
        <v>421</v>
      </c>
      <c r="Q60" s="268">
        <v>0</v>
      </c>
    </row>
    <row r="61" spans="1:17" ht="25.5" customHeight="1">
      <c r="A61" s="79" t="s">
        <v>273</v>
      </c>
      <c r="B61" s="269">
        <v>108</v>
      </c>
      <c r="C61" s="269">
        <v>77</v>
      </c>
      <c r="D61" s="269">
        <v>75517</v>
      </c>
      <c r="E61" s="269">
        <v>320</v>
      </c>
      <c r="G61" s="79" t="s">
        <v>273</v>
      </c>
      <c r="H61" s="269">
        <v>-1294</v>
      </c>
      <c r="I61" s="269">
        <v>368</v>
      </c>
      <c r="J61" s="269">
        <v>79303</v>
      </c>
      <c r="K61" s="269">
        <v>815</v>
      </c>
      <c r="M61" s="79" t="s">
        <v>273</v>
      </c>
      <c r="N61" s="269">
        <v>-1975</v>
      </c>
      <c r="O61" s="269">
        <v>242</v>
      </c>
      <c r="P61" s="269">
        <v>82778</v>
      </c>
      <c r="Q61" s="269">
        <v>2274</v>
      </c>
    </row>
    <row r="62" spans="1:17" ht="12.75">
      <c r="A62" s="79" t="s">
        <v>4</v>
      </c>
      <c r="B62" s="269">
        <v>26872</v>
      </c>
      <c r="C62" s="269">
        <v>7274</v>
      </c>
      <c r="D62" s="269">
        <v>204164</v>
      </c>
      <c r="E62" s="269">
        <v>9782</v>
      </c>
      <c r="G62" s="79" t="s">
        <v>4</v>
      </c>
      <c r="H62" s="269">
        <v>26715</v>
      </c>
      <c r="I62" s="269">
        <v>8150</v>
      </c>
      <c r="J62" s="269">
        <v>213115</v>
      </c>
      <c r="K62" s="269">
        <v>10386</v>
      </c>
      <c r="M62" s="79" t="s">
        <v>4</v>
      </c>
      <c r="N62" s="269">
        <v>28571</v>
      </c>
      <c r="O62" s="269">
        <v>13483</v>
      </c>
      <c r="P62" s="269">
        <v>210881</v>
      </c>
      <c r="Q62" s="269">
        <v>11966</v>
      </c>
    </row>
  </sheetData>
  <mergeCells count="8">
    <mergeCell ref="G35:K35"/>
    <mergeCell ref="G36:G37"/>
    <mergeCell ref="M35:Q35"/>
    <mergeCell ref="M36:M37"/>
    <mergeCell ref="A1:E1"/>
    <mergeCell ref="A2:A3"/>
    <mergeCell ref="A35:E35"/>
    <mergeCell ref="A36:A37"/>
  </mergeCells>
  <printOptions/>
  <pageMargins left="0.75" right="0.75" top="1" bottom="1" header="0.5" footer="0.5"/>
  <pageSetup horizontalDpi="600" verticalDpi="600" orientation="portrait" r:id="rId1"/>
  <headerFooter alignWithMargins="0">
    <oddHeader>&amp;LRRCA
Compact Accounting&amp;CGround Water Model Output&amp;RPage &amp;P of &amp;N</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S33"/>
  <sheetViews>
    <sheetView zoomScale="75" zoomScaleNormal="75" workbookViewId="0" topLeftCell="A1">
      <selection activeCell="A1" sqref="A1"/>
    </sheetView>
  </sheetViews>
  <sheetFormatPr defaultColWidth="9.140625" defaultRowHeight="12.75"/>
  <cols>
    <col min="1" max="1" width="17.28125" style="189" customWidth="1"/>
    <col min="2" max="10" width="9.28125" style="189" bestFit="1" customWidth="1"/>
    <col min="11" max="11" width="12.8515625" style="189" customWidth="1"/>
    <col min="12" max="12" width="11.7109375" style="189" customWidth="1"/>
    <col min="13" max="14" width="11.00390625" style="189" customWidth="1"/>
    <col min="15" max="16" width="9.28125" style="189" bestFit="1" customWidth="1"/>
    <col min="17" max="17" width="13.28125" style="189" customWidth="1"/>
    <col min="18" max="18" width="13.421875" style="189" customWidth="1"/>
    <col min="19" max="19" width="11.28125" style="189" customWidth="1"/>
    <col min="20" max="16384" width="9.140625" style="189" customWidth="1"/>
  </cols>
  <sheetData>
    <row r="1" spans="1:19" ht="15">
      <c r="A1" s="231"/>
      <c r="B1" s="232"/>
      <c r="C1" s="232"/>
      <c r="D1" s="232"/>
      <c r="E1" s="232"/>
      <c r="F1" s="232"/>
      <c r="G1" s="232"/>
      <c r="H1" s="232"/>
      <c r="I1" s="232"/>
      <c r="J1" s="233" t="s">
        <v>283</v>
      </c>
      <c r="K1" s="232"/>
      <c r="L1" s="232"/>
      <c r="M1" s="232"/>
      <c r="N1" s="232"/>
      <c r="O1" s="232"/>
      <c r="P1" s="232">
        <v>2005</v>
      </c>
      <c r="Q1" s="232" t="s">
        <v>496</v>
      </c>
      <c r="R1" s="232"/>
      <c r="S1" s="232"/>
    </row>
    <row r="2" spans="1:19" ht="14.25">
      <c r="A2" s="231"/>
      <c r="B2" s="232"/>
      <c r="C2" s="232"/>
      <c r="D2" s="232"/>
      <c r="E2" s="232"/>
      <c r="F2" s="232"/>
      <c r="G2" s="232"/>
      <c r="H2" s="232"/>
      <c r="I2" s="232"/>
      <c r="J2" s="232"/>
      <c r="K2" s="232"/>
      <c r="L2" s="232"/>
      <c r="M2" s="232"/>
      <c r="N2" s="232"/>
      <c r="O2" s="232"/>
      <c r="P2" s="232"/>
      <c r="Q2" s="232"/>
      <c r="R2" s="232"/>
      <c r="S2" s="232"/>
    </row>
    <row r="3" spans="1:19" ht="14.25">
      <c r="A3" s="234">
        <v>1</v>
      </c>
      <c r="B3" s="234">
        <v>2</v>
      </c>
      <c r="C3" s="234">
        <v>3</v>
      </c>
      <c r="D3" s="234">
        <v>4</v>
      </c>
      <c r="E3" s="234">
        <v>5</v>
      </c>
      <c r="F3" s="234">
        <v>6</v>
      </c>
      <c r="G3" s="234">
        <v>7</v>
      </c>
      <c r="H3" s="234">
        <v>8</v>
      </c>
      <c r="I3" s="234">
        <v>9</v>
      </c>
      <c r="J3" s="234">
        <v>10</v>
      </c>
      <c r="K3" s="234">
        <v>11</v>
      </c>
      <c r="L3" s="234">
        <v>12</v>
      </c>
      <c r="M3" s="234">
        <v>13</v>
      </c>
      <c r="N3" s="234">
        <v>14</v>
      </c>
      <c r="O3" s="234">
        <v>15</v>
      </c>
      <c r="P3" s="234">
        <v>16</v>
      </c>
      <c r="Q3" s="234">
        <v>17</v>
      </c>
      <c r="R3" s="234">
        <v>18</v>
      </c>
      <c r="S3" s="234">
        <v>19</v>
      </c>
    </row>
    <row r="4" spans="1:19" ht="15" thickBot="1">
      <c r="A4" s="235"/>
      <c r="B4" s="234" t="s">
        <v>284</v>
      </c>
      <c r="C4" s="234" t="s">
        <v>284</v>
      </c>
      <c r="D4" s="234" t="s">
        <v>285</v>
      </c>
      <c r="E4" s="234" t="s">
        <v>286</v>
      </c>
      <c r="F4" s="234" t="s">
        <v>287</v>
      </c>
      <c r="G4" s="234" t="s">
        <v>285</v>
      </c>
      <c r="H4" s="234" t="s">
        <v>284</v>
      </c>
      <c r="I4" s="234" t="s">
        <v>288</v>
      </c>
      <c r="J4" s="234" t="s">
        <v>289</v>
      </c>
      <c r="K4" s="234" t="s">
        <v>290</v>
      </c>
      <c r="L4" s="234" t="s">
        <v>291</v>
      </c>
      <c r="M4" s="234" t="s">
        <v>292</v>
      </c>
      <c r="N4" s="234" t="s">
        <v>293</v>
      </c>
      <c r="O4" s="234" t="s">
        <v>294</v>
      </c>
      <c r="P4" s="234" t="s">
        <v>295</v>
      </c>
      <c r="Q4" s="234" t="s">
        <v>296</v>
      </c>
      <c r="R4" s="234" t="s">
        <v>297</v>
      </c>
      <c r="S4" s="234" t="s">
        <v>298</v>
      </c>
    </row>
    <row r="5" spans="1:19" ht="15">
      <c r="A5" s="236"/>
      <c r="B5" s="236"/>
      <c r="C5" s="236"/>
      <c r="D5" s="236"/>
      <c r="E5" s="236"/>
      <c r="F5" s="236"/>
      <c r="G5" s="236"/>
      <c r="H5" s="236"/>
      <c r="I5" s="236"/>
      <c r="J5" s="236"/>
      <c r="K5" s="237"/>
      <c r="L5" s="238"/>
      <c r="M5" s="239" t="s">
        <v>299</v>
      </c>
      <c r="N5" s="240"/>
      <c r="O5" s="240"/>
      <c r="P5" s="237"/>
      <c r="Q5" s="239" t="s">
        <v>300</v>
      </c>
      <c r="R5" s="240"/>
      <c r="S5" s="241" t="s">
        <v>301</v>
      </c>
    </row>
    <row r="6" spans="1:19" ht="15.75" thickBot="1">
      <c r="A6" s="242"/>
      <c r="B6" s="242"/>
      <c r="C6" s="242"/>
      <c r="D6" s="242"/>
      <c r="E6" s="242"/>
      <c r="F6" s="242"/>
      <c r="G6" s="242"/>
      <c r="H6" s="242"/>
      <c r="I6" s="242"/>
      <c r="J6" s="242"/>
      <c r="K6" s="243"/>
      <c r="L6" s="244"/>
      <c r="M6" s="233" t="s">
        <v>302</v>
      </c>
      <c r="N6" s="232"/>
      <c r="O6" s="232"/>
      <c r="P6" s="243"/>
      <c r="Q6" s="233" t="s">
        <v>299</v>
      </c>
      <c r="R6" s="232"/>
      <c r="S6" s="245"/>
    </row>
    <row r="7" spans="1:19" ht="15">
      <c r="A7" s="231"/>
      <c r="B7" s="231"/>
      <c r="C7" s="231"/>
      <c r="D7" s="231"/>
      <c r="E7" s="231"/>
      <c r="F7" s="231"/>
      <c r="G7" s="231"/>
      <c r="H7" s="231"/>
      <c r="I7" s="231"/>
      <c r="J7" s="242"/>
      <c r="K7" s="237"/>
      <c r="L7" s="238" t="s">
        <v>303</v>
      </c>
      <c r="M7" s="239"/>
      <c r="N7" s="237" t="s">
        <v>304</v>
      </c>
      <c r="O7" s="240"/>
      <c r="P7" s="243"/>
      <c r="Q7" s="233" t="s">
        <v>305</v>
      </c>
      <c r="R7" s="232"/>
      <c r="S7" s="245" t="s">
        <v>306</v>
      </c>
    </row>
    <row r="8" spans="1:19" ht="15.75" thickBot="1">
      <c r="A8" s="231"/>
      <c r="B8" s="231"/>
      <c r="C8" s="231"/>
      <c r="D8" s="246" t="s">
        <v>307</v>
      </c>
      <c r="E8" s="231"/>
      <c r="F8" s="231"/>
      <c r="G8" s="246" t="s">
        <v>308</v>
      </c>
      <c r="H8" s="246" t="s">
        <v>309</v>
      </c>
      <c r="I8" s="231"/>
      <c r="J8" s="242"/>
      <c r="K8" s="243"/>
      <c r="L8" s="244" t="s">
        <v>310</v>
      </c>
      <c r="M8" s="233"/>
      <c r="N8" s="243" t="s">
        <v>311</v>
      </c>
      <c r="O8" s="232"/>
      <c r="P8" s="243"/>
      <c r="Q8" s="233" t="s">
        <v>312</v>
      </c>
      <c r="R8" s="232"/>
      <c r="S8" s="245" t="s">
        <v>313</v>
      </c>
    </row>
    <row r="9" spans="1:19" ht="15">
      <c r="A9" s="231"/>
      <c r="B9" s="231"/>
      <c r="C9" s="231"/>
      <c r="D9" s="246" t="s">
        <v>314</v>
      </c>
      <c r="E9" s="246" t="s">
        <v>4</v>
      </c>
      <c r="F9" s="246" t="s">
        <v>4</v>
      </c>
      <c r="G9" s="246" t="s">
        <v>314</v>
      </c>
      <c r="H9" s="246" t="s">
        <v>315</v>
      </c>
      <c r="I9" s="246" t="s">
        <v>4</v>
      </c>
      <c r="J9" s="246" t="s">
        <v>4</v>
      </c>
      <c r="K9" s="237"/>
      <c r="L9" s="238" t="s">
        <v>316</v>
      </c>
      <c r="M9" s="239"/>
      <c r="N9" s="237" t="s">
        <v>317</v>
      </c>
      <c r="O9" s="240"/>
      <c r="P9" s="237"/>
      <c r="Q9" s="238" t="s">
        <v>316</v>
      </c>
      <c r="R9" s="239"/>
      <c r="S9" s="245" t="s">
        <v>318</v>
      </c>
    </row>
    <row r="10" spans="1:19" ht="14.25">
      <c r="A10" s="231"/>
      <c r="B10" s="246"/>
      <c r="C10" s="246"/>
      <c r="D10" s="246" t="s">
        <v>319</v>
      </c>
      <c r="E10" s="246" t="s">
        <v>320</v>
      </c>
      <c r="F10" s="246" t="s">
        <v>321</v>
      </c>
      <c r="G10" s="246" t="s">
        <v>319</v>
      </c>
      <c r="H10" s="246" t="s">
        <v>322</v>
      </c>
      <c r="I10" s="246" t="s">
        <v>320</v>
      </c>
      <c r="J10" s="246" t="s">
        <v>321</v>
      </c>
      <c r="K10" s="243"/>
      <c r="L10" s="244" t="s">
        <v>323</v>
      </c>
      <c r="M10" s="232"/>
      <c r="N10" s="243" t="s">
        <v>324</v>
      </c>
      <c r="O10" s="232"/>
      <c r="P10" s="243"/>
      <c r="Q10" s="244" t="s">
        <v>323</v>
      </c>
      <c r="R10" s="232"/>
      <c r="S10" s="245" t="s">
        <v>306</v>
      </c>
    </row>
    <row r="11" spans="1:19" ht="15" thickBot="1">
      <c r="A11" s="231"/>
      <c r="B11" s="246" t="s">
        <v>325</v>
      </c>
      <c r="C11" s="246" t="s">
        <v>325</v>
      </c>
      <c r="D11" s="246" t="s">
        <v>326</v>
      </c>
      <c r="E11" s="246" t="s">
        <v>327</v>
      </c>
      <c r="F11" s="246" t="s">
        <v>328</v>
      </c>
      <c r="G11" s="246" t="s">
        <v>326</v>
      </c>
      <c r="H11" s="246" t="s">
        <v>325</v>
      </c>
      <c r="I11" s="246" t="s">
        <v>327</v>
      </c>
      <c r="J11" s="246" t="s">
        <v>328</v>
      </c>
      <c r="K11" s="243"/>
      <c r="L11" s="244" t="s">
        <v>329</v>
      </c>
      <c r="M11" s="232"/>
      <c r="N11" s="243" t="s">
        <v>330</v>
      </c>
      <c r="O11" s="232"/>
      <c r="P11" s="243"/>
      <c r="Q11" s="244" t="s">
        <v>331</v>
      </c>
      <c r="R11" s="232"/>
      <c r="S11" s="245" t="s">
        <v>332</v>
      </c>
    </row>
    <row r="12" spans="1:19" ht="14.25">
      <c r="A12" s="246" t="s">
        <v>333</v>
      </c>
      <c r="B12" s="246" t="s">
        <v>323</v>
      </c>
      <c r="C12" s="246" t="s">
        <v>323</v>
      </c>
      <c r="D12" s="246" t="s">
        <v>323</v>
      </c>
      <c r="E12" s="246" t="s">
        <v>328</v>
      </c>
      <c r="F12" s="246" t="s">
        <v>307</v>
      </c>
      <c r="G12" s="246" t="s">
        <v>323</v>
      </c>
      <c r="H12" s="246" t="s">
        <v>323</v>
      </c>
      <c r="I12" s="246" t="s">
        <v>328</v>
      </c>
      <c r="J12" s="246" t="s">
        <v>308</v>
      </c>
      <c r="K12" s="247" t="s">
        <v>307</v>
      </c>
      <c r="L12" s="248" t="s">
        <v>308</v>
      </c>
      <c r="M12" s="249"/>
      <c r="N12" s="247" t="s">
        <v>308</v>
      </c>
      <c r="O12" s="249"/>
      <c r="P12" s="247" t="s">
        <v>307</v>
      </c>
      <c r="Q12" s="248" t="s">
        <v>308</v>
      </c>
      <c r="R12" s="249"/>
      <c r="S12" s="245"/>
    </row>
    <row r="13" spans="1:19" ht="15" thickBot="1">
      <c r="A13" s="231"/>
      <c r="B13" s="246" t="s">
        <v>334</v>
      </c>
      <c r="C13" s="246" t="s">
        <v>335</v>
      </c>
      <c r="D13" s="246" t="s">
        <v>336</v>
      </c>
      <c r="E13" s="246" t="s">
        <v>307</v>
      </c>
      <c r="F13" s="246" t="s">
        <v>336</v>
      </c>
      <c r="G13" s="246" t="s">
        <v>330</v>
      </c>
      <c r="H13" s="246" t="s">
        <v>337</v>
      </c>
      <c r="I13" s="246" t="s">
        <v>308</v>
      </c>
      <c r="J13" s="246" t="s">
        <v>330</v>
      </c>
      <c r="K13" s="250" t="s">
        <v>314</v>
      </c>
      <c r="L13" s="246" t="s">
        <v>314</v>
      </c>
      <c r="M13" s="246" t="s">
        <v>338</v>
      </c>
      <c r="N13" s="250" t="s">
        <v>314</v>
      </c>
      <c r="O13" s="246" t="s">
        <v>338</v>
      </c>
      <c r="P13" s="250" t="s">
        <v>314</v>
      </c>
      <c r="Q13" s="246" t="s">
        <v>314</v>
      </c>
      <c r="R13" s="246" t="s">
        <v>338</v>
      </c>
      <c r="S13" s="251"/>
    </row>
    <row r="14" spans="1:19" ht="15" thickBot="1">
      <c r="A14" s="236"/>
      <c r="B14" s="252"/>
      <c r="C14" s="252"/>
      <c r="D14" s="252"/>
      <c r="E14" s="252"/>
      <c r="F14" s="252"/>
      <c r="G14" s="252"/>
      <c r="H14" s="252"/>
      <c r="I14" s="252"/>
      <c r="J14" s="252"/>
      <c r="K14" s="253"/>
      <c r="L14" s="254"/>
      <c r="M14" s="255"/>
      <c r="N14" s="256"/>
      <c r="O14" s="257"/>
      <c r="P14" s="253"/>
      <c r="Q14" s="254"/>
      <c r="R14" s="254"/>
      <c r="S14" s="258"/>
    </row>
    <row r="15" spans="1:19" ht="15" thickTop="1">
      <c r="A15" s="259" t="s">
        <v>339</v>
      </c>
      <c r="B15" s="260">
        <v>3685</v>
      </c>
      <c r="C15" s="260">
        <v>2747</v>
      </c>
      <c r="D15" s="260">
        <v>0</v>
      </c>
      <c r="E15" s="261">
        <v>2747</v>
      </c>
      <c r="F15" s="261">
        <v>938</v>
      </c>
      <c r="G15" s="260">
        <v>0</v>
      </c>
      <c r="H15" s="260">
        <v>1804</v>
      </c>
      <c r="I15" s="261">
        <v>1804</v>
      </c>
      <c r="J15" s="261">
        <v>943</v>
      </c>
      <c r="K15" s="262">
        <v>0</v>
      </c>
      <c r="L15" s="263">
        <v>0</v>
      </c>
      <c r="M15" s="264">
        <v>938</v>
      </c>
      <c r="N15" s="262">
        <v>0</v>
      </c>
      <c r="O15" s="264">
        <v>943</v>
      </c>
      <c r="P15" s="262">
        <v>0</v>
      </c>
      <c r="Q15" s="261">
        <v>0</v>
      </c>
      <c r="R15" s="261">
        <v>3685</v>
      </c>
      <c r="S15" s="265">
        <v>3685</v>
      </c>
    </row>
    <row r="16" spans="1:19" ht="14.25">
      <c r="A16" s="266" t="s">
        <v>340</v>
      </c>
      <c r="B16" s="267">
        <v>5087</v>
      </c>
      <c r="C16" s="267">
        <v>4265</v>
      </c>
      <c r="D16" s="267">
        <v>0</v>
      </c>
      <c r="E16" s="263">
        <v>4265</v>
      </c>
      <c r="F16" s="263">
        <v>822</v>
      </c>
      <c r="G16" s="267">
        <v>0</v>
      </c>
      <c r="H16" s="267">
        <v>3430</v>
      </c>
      <c r="I16" s="263">
        <v>3430</v>
      </c>
      <c r="J16" s="263">
        <v>835</v>
      </c>
      <c r="K16" s="262">
        <v>0</v>
      </c>
      <c r="L16" s="263">
        <v>0</v>
      </c>
      <c r="M16" s="263">
        <v>822</v>
      </c>
      <c r="N16" s="262">
        <v>0</v>
      </c>
      <c r="O16" s="263">
        <v>835</v>
      </c>
      <c r="P16" s="262">
        <v>0</v>
      </c>
      <c r="Q16" s="263">
        <v>0</v>
      </c>
      <c r="R16" s="263">
        <v>5087</v>
      </c>
      <c r="S16" s="262">
        <v>5087</v>
      </c>
    </row>
    <row r="17" spans="1:19" ht="14.25">
      <c r="A17" s="266" t="s">
        <v>341</v>
      </c>
      <c r="B17" s="267">
        <v>5911</v>
      </c>
      <c r="C17" s="267">
        <v>4926</v>
      </c>
      <c r="D17" s="267">
        <v>0</v>
      </c>
      <c r="E17" s="263">
        <v>4926</v>
      </c>
      <c r="F17" s="263">
        <v>985</v>
      </c>
      <c r="G17" s="267">
        <v>0</v>
      </c>
      <c r="H17" s="267">
        <v>3950</v>
      </c>
      <c r="I17" s="263">
        <v>3950</v>
      </c>
      <c r="J17" s="263">
        <v>976</v>
      </c>
      <c r="K17" s="262">
        <v>0</v>
      </c>
      <c r="L17" s="263">
        <v>0</v>
      </c>
      <c r="M17" s="263">
        <v>985</v>
      </c>
      <c r="N17" s="262">
        <v>0</v>
      </c>
      <c r="O17" s="263">
        <v>976</v>
      </c>
      <c r="P17" s="262">
        <v>0</v>
      </c>
      <c r="Q17" s="263">
        <v>0</v>
      </c>
      <c r="R17" s="263">
        <v>5911</v>
      </c>
      <c r="S17" s="262">
        <v>5911</v>
      </c>
    </row>
    <row r="18" spans="1:19" ht="14.25">
      <c r="A18" s="266" t="s">
        <v>342</v>
      </c>
      <c r="B18" s="267">
        <v>7430</v>
      </c>
      <c r="C18" s="267">
        <v>6557</v>
      </c>
      <c r="D18" s="267">
        <v>0</v>
      </c>
      <c r="E18" s="263">
        <v>6557</v>
      </c>
      <c r="F18" s="263">
        <v>873</v>
      </c>
      <c r="G18" s="267">
        <v>0</v>
      </c>
      <c r="H18" s="267">
        <v>5677</v>
      </c>
      <c r="I18" s="263">
        <v>5677</v>
      </c>
      <c r="J18" s="263">
        <v>880</v>
      </c>
      <c r="K18" s="262">
        <v>0</v>
      </c>
      <c r="L18" s="263">
        <v>0</v>
      </c>
      <c r="M18" s="263">
        <v>873</v>
      </c>
      <c r="N18" s="262">
        <v>0</v>
      </c>
      <c r="O18" s="263">
        <v>880</v>
      </c>
      <c r="P18" s="262">
        <v>0</v>
      </c>
      <c r="Q18" s="263">
        <v>0</v>
      </c>
      <c r="R18" s="263">
        <v>7430</v>
      </c>
      <c r="S18" s="262">
        <v>7430</v>
      </c>
    </row>
    <row r="19" spans="1:19" ht="14.25">
      <c r="A19" s="266" t="s">
        <v>343</v>
      </c>
      <c r="B19" s="267">
        <v>5479</v>
      </c>
      <c r="C19" s="267">
        <v>4608</v>
      </c>
      <c r="D19" s="267">
        <v>0</v>
      </c>
      <c r="E19" s="263">
        <v>4608</v>
      </c>
      <c r="F19" s="263">
        <v>871</v>
      </c>
      <c r="G19" s="267">
        <v>0</v>
      </c>
      <c r="H19" s="267">
        <v>3749</v>
      </c>
      <c r="I19" s="263">
        <v>3749</v>
      </c>
      <c r="J19" s="263">
        <v>859</v>
      </c>
      <c r="K19" s="262">
        <v>0</v>
      </c>
      <c r="L19" s="263">
        <v>0</v>
      </c>
      <c r="M19" s="263">
        <v>871</v>
      </c>
      <c r="N19" s="262">
        <v>0</v>
      </c>
      <c r="O19" s="263">
        <v>859</v>
      </c>
      <c r="P19" s="262">
        <v>0</v>
      </c>
      <c r="Q19" s="263">
        <v>0</v>
      </c>
      <c r="R19" s="263">
        <v>5479</v>
      </c>
      <c r="S19" s="262">
        <v>5479</v>
      </c>
    </row>
    <row r="20" spans="1:19" ht="14.25">
      <c r="A20" s="266" t="s">
        <v>344</v>
      </c>
      <c r="B20" s="267">
        <v>6559</v>
      </c>
      <c r="C20" s="267">
        <v>5764</v>
      </c>
      <c r="D20" s="267">
        <v>0</v>
      </c>
      <c r="E20" s="263">
        <v>5764</v>
      </c>
      <c r="F20" s="263">
        <v>795</v>
      </c>
      <c r="G20" s="267">
        <v>374</v>
      </c>
      <c r="H20" s="267">
        <v>4164</v>
      </c>
      <c r="I20" s="263">
        <v>4538</v>
      </c>
      <c r="J20" s="263">
        <v>1226</v>
      </c>
      <c r="K20" s="262">
        <v>0</v>
      </c>
      <c r="L20" s="263">
        <v>66</v>
      </c>
      <c r="M20" s="263">
        <v>729</v>
      </c>
      <c r="N20" s="262">
        <v>101</v>
      </c>
      <c r="O20" s="263">
        <v>1125</v>
      </c>
      <c r="P20" s="262">
        <v>0</v>
      </c>
      <c r="Q20" s="263">
        <v>541</v>
      </c>
      <c r="R20" s="263">
        <v>6018</v>
      </c>
      <c r="S20" s="262">
        <v>6559</v>
      </c>
    </row>
    <row r="21" spans="1:19" ht="14.25">
      <c r="A21" s="266" t="s">
        <v>345</v>
      </c>
      <c r="B21" s="267">
        <v>1221</v>
      </c>
      <c r="C21" s="267">
        <v>893</v>
      </c>
      <c r="D21" s="267">
        <v>0</v>
      </c>
      <c r="E21" s="263">
        <v>893</v>
      </c>
      <c r="F21" s="263">
        <v>328</v>
      </c>
      <c r="G21" s="267">
        <v>125</v>
      </c>
      <c r="H21" s="267">
        <v>0</v>
      </c>
      <c r="I21" s="263">
        <v>125</v>
      </c>
      <c r="J21" s="263">
        <v>768</v>
      </c>
      <c r="K21" s="262">
        <v>0</v>
      </c>
      <c r="L21" s="263">
        <v>328</v>
      </c>
      <c r="M21" s="263">
        <v>0</v>
      </c>
      <c r="N21" s="262">
        <v>768</v>
      </c>
      <c r="O21" s="263">
        <v>0</v>
      </c>
      <c r="P21" s="262">
        <v>0</v>
      </c>
      <c r="Q21" s="263">
        <v>1221</v>
      </c>
      <c r="R21" s="263">
        <v>0</v>
      </c>
      <c r="S21" s="262">
        <v>1221</v>
      </c>
    </row>
    <row r="22" spans="1:19" ht="14.25">
      <c r="A22" s="266" t="s">
        <v>346</v>
      </c>
      <c r="B22" s="267">
        <v>2663</v>
      </c>
      <c r="C22" s="267">
        <v>2118</v>
      </c>
      <c r="D22" s="267">
        <v>0</v>
      </c>
      <c r="E22" s="263">
        <v>2118</v>
      </c>
      <c r="F22" s="263">
        <v>545</v>
      </c>
      <c r="G22" s="267">
        <v>62</v>
      </c>
      <c r="H22" s="267">
        <v>1562</v>
      </c>
      <c r="I22" s="263">
        <v>1624</v>
      </c>
      <c r="J22" s="263">
        <v>494</v>
      </c>
      <c r="K22" s="262">
        <v>0</v>
      </c>
      <c r="L22" s="263">
        <v>21</v>
      </c>
      <c r="M22" s="263">
        <v>524</v>
      </c>
      <c r="N22" s="262">
        <v>19</v>
      </c>
      <c r="O22" s="263">
        <v>475</v>
      </c>
      <c r="P22" s="262">
        <v>0</v>
      </c>
      <c r="Q22" s="263">
        <v>102</v>
      </c>
      <c r="R22" s="263">
        <v>2561</v>
      </c>
      <c r="S22" s="262">
        <v>2663</v>
      </c>
    </row>
    <row r="23" spans="1:19" ht="14.25">
      <c r="A23" s="266" t="s">
        <v>347</v>
      </c>
      <c r="B23" s="267">
        <v>1941</v>
      </c>
      <c r="C23" s="267">
        <v>1375</v>
      </c>
      <c r="D23" s="267">
        <v>0</v>
      </c>
      <c r="E23" s="263">
        <v>1375</v>
      </c>
      <c r="F23" s="263">
        <v>566</v>
      </c>
      <c r="G23" s="267">
        <v>0</v>
      </c>
      <c r="H23" s="267">
        <v>913</v>
      </c>
      <c r="I23" s="263">
        <v>913</v>
      </c>
      <c r="J23" s="263">
        <v>462</v>
      </c>
      <c r="K23" s="262">
        <v>0</v>
      </c>
      <c r="L23" s="263">
        <v>0</v>
      </c>
      <c r="M23" s="263">
        <v>566</v>
      </c>
      <c r="N23" s="262">
        <v>0</v>
      </c>
      <c r="O23" s="263">
        <v>462</v>
      </c>
      <c r="P23" s="262">
        <v>0</v>
      </c>
      <c r="Q23" s="263">
        <v>0</v>
      </c>
      <c r="R23" s="263">
        <v>1941</v>
      </c>
      <c r="S23" s="262">
        <v>1941</v>
      </c>
    </row>
    <row r="24" spans="1:19" ht="14.25">
      <c r="A24" s="266" t="s">
        <v>348</v>
      </c>
      <c r="B24" s="267">
        <v>2488</v>
      </c>
      <c r="C24" s="267">
        <v>1843</v>
      </c>
      <c r="D24" s="267">
        <v>0</v>
      </c>
      <c r="E24" s="263">
        <v>1843</v>
      </c>
      <c r="F24" s="263">
        <v>645</v>
      </c>
      <c r="G24" s="267">
        <v>0</v>
      </c>
      <c r="H24" s="267">
        <v>884</v>
      </c>
      <c r="I24" s="263">
        <v>884</v>
      </c>
      <c r="J24" s="263">
        <v>959</v>
      </c>
      <c r="K24" s="262">
        <v>0</v>
      </c>
      <c r="L24" s="263">
        <v>0</v>
      </c>
      <c r="M24" s="263">
        <v>645</v>
      </c>
      <c r="N24" s="262">
        <v>0</v>
      </c>
      <c r="O24" s="263">
        <v>959</v>
      </c>
      <c r="P24" s="262">
        <v>0</v>
      </c>
      <c r="Q24" s="263">
        <v>0</v>
      </c>
      <c r="R24" s="263">
        <v>2488</v>
      </c>
      <c r="S24" s="262">
        <v>2488</v>
      </c>
    </row>
    <row r="25" spans="1:19" ht="14.25">
      <c r="A25" s="266" t="s">
        <v>349</v>
      </c>
      <c r="B25" s="267">
        <v>3017</v>
      </c>
      <c r="C25" s="267">
        <v>2416</v>
      </c>
      <c r="D25" s="267">
        <v>0</v>
      </c>
      <c r="E25" s="263">
        <v>2416</v>
      </c>
      <c r="F25" s="263">
        <v>601</v>
      </c>
      <c r="G25" s="267">
        <v>0</v>
      </c>
      <c r="H25" s="267">
        <v>1512</v>
      </c>
      <c r="I25" s="263">
        <v>1512</v>
      </c>
      <c r="J25" s="263">
        <v>904</v>
      </c>
      <c r="K25" s="262">
        <v>0</v>
      </c>
      <c r="L25" s="263">
        <v>0</v>
      </c>
      <c r="M25" s="263">
        <v>601</v>
      </c>
      <c r="N25" s="262">
        <v>0</v>
      </c>
      <c r="O25" s="263">
        <v>904</v>
      </c>
      <c r="P25" s="262">
        <v>0</v>
      </c>
      <c r="Q25" s="263">
        <v>0</v>
      </c>
      <c r="R25" s="263">
        <v>3017</v>
      </c>
      <c r="S25" s="262">
        <v>3017</v>
      </c>
    </row>
    <row r="26" spans="1:19" ht="14.25">
      <c r="A26" s="266" t="s">
        <v>350</v>
      </c>
      <c r="B26" s="267">
        <v>3256</v>
      </c>
      <c r="C26" s="267">
        <v>2574</v>
      </c>
      <c r="D26" s="267">
        <v>0</v>
      </c>
      <c r="E26" s="263">
        <v>2574</v>
      </c>
      <c r="F26" s="263">
        <v>682</v>
      </c>
      <c r="G26" s="267">
        <v>0</v>
      </c>
      <c r="H26" s="267">
        <v>1620</v>
      </c>
      <c r="I26" s="263">
        <v>1620</v>
      </c>
      <c r="J26" s="263">
        <v>954</v>
      </c>
      <c r="K26" s="262">
        <v>0</v>
      </c>
      <c r="L26" s="263">
        <v>0</v>
      </c>
      <c r="M26" s="263">
        <v>682</v>
      </c>
      <c r="N26" s="262">
        <v>0</v>
      </c>
      <c r="O26" s="263">
        <v>954</v>
      </c>
      <c r="P26" s="262">
        <v>0</v>
      </c>
      <c r="Q26" s="263">
        <v>0</v>
      </c>
      <c r="R26" s="263">
        <v>3256</v>
      </c>
      <c r="S26" s="262">
        <v>3256</v>
      </c>
    </row>
    <row r="27" spans="1:19" ht="15" thickBot="1">
      <c r="A27" s="266"/>
      <c r="B27" s="263"/>
      <c r="C27" s="263"/>
      <c r="D27" s="263"/>
      <c r="E27" s="263"/>
      <c r="F27" s="263"/>
      <c r="G27" s="263"/>
      <c r="H27" s="263"/>
      <c r="I27" s="263"/>
      <c r="J27" s="263"/>
      <c r="K27" s="262"/>
      <c r="L27" s="263"/>
      <c r="M27" s="263"/>
      <c r="N27" s="262"/>
      <c r="O27" s="263"/>
      <c r="P27" s="262"/>
      <c r="Q27" s="263"/>
      <c r="R27" s="263"/>
      <c r="S27" s="262"/>
    </row>
    <row r="28" spans="1:19" ht="15" thickTop="1">
      <c r="A28" s="259" t="s">
        <v>4</v>
      </c>
      <c r="B28" s="261">
        <v>48737</v>
      </c>
      <c r="C28" s="261">
        <v>40086</v>
      </c>
      <c r="D28" s="261">
        <v>0</v>
      </c>
      <c r="E28" s="261">
        <v>40086</v>
      </c>
      <c r="F28" s="261">
        <v>8651</v>
      </c>
      <c r="G28" s="261">
        <v>561</v>
      </c>
      <c r="H28" s="261">
        <v>29265</v>
      </c>
      <c r="I28" s="261">
        <v>29826</v>
      </c>
      <c r="J28" s="261">
        <v>10260</v>
      </c>
      <c r="K28" s="265">
        <v>0</v>
      </c>
      <c r="L28" s="261">
        <v>415</v>
      </c>
      <c r="M28" s="261">
        <v>8236</v>
      </c>
      <c r="N28" s="265">
        <v>888</v>
      </c>
      <c r="O28" s="261">
        <v>9372</v>
      </c>
      <c r="P28" s="265">
        <v>0</v>
      </c>
      <c r="Q28" s="261">
        <v>1864</v>
      </c>
      <c r="R28" s="261">
        <v>46873</v>
      </c>
      <c r="S28" s="265">
        <v>48737</v>
      </c>
    </row>
    <row r="33" ht="14.25">
      <c r="B33" s="189" t="s">
        <v>501</v>
      </c>
    </row>
  </sheetData>
  <printOptions/>
  <pageMargins left="0.75" right="0.75" top="1" bottom="1" header="0.5" footer="0.5"/>
  <pageSetup fitToHeight="1" fitToWidth="1" horizontalDpi="600" verticalDpi="600" orientation="landscape" scale="59" r:id="rId1"/>
  <headerFooter alignWithMargins="0">
    <oddHeader>&amp;LRRCA
Compact Accounting&amp;RPage &amp;P of &amp;N</oddHeader>
  </headerFooter>
</worksheet>
</file>

<file path=xl/worksheets/sheet27.xml><?xml version="1.0" encoding="utf-8"?>
<worksheet xmlns="http://schemas.openxmlformats.org/spreadsheetml/2006/main" xmlns:r="http://schemas.openxmlformats.org/officeDocument/2006/relationships">
  <dimension ref="A1:E43"/>
  <sheetViews>
    <sheetView workbookViewId="0" topLeftCell="A24">
      <selection activeCell="A24" sqref="A24"/>
    </sheetView>
  </sheetViews>
  <sheetFormatPr defaultColWidth="9.140625" defaultRowHeight="12.75"/>
  <cols>
    <col min="1" max="1" width="23.00390625" style="0" bestFit="1" customWidth="1"/>
    <col min="2" max="2" width="21.8515625" style="0" bestFit="1" customWidth="1"/>
    <col min="3" max="3" width="18.8515625" style="0" bestFit="1" customWidth="1"/>
    <col min="4" max="5" width="13.8515625" style="0" bestFit="1" customWidth="1"/>
  </cols>
  <sheetData>
    <row r="1" spans="1:4" ht="22.5">
      <c r="A1" s="356" t="s">
        <v>529</v>
      </c>
      <c r="B1" s="357"/>
      <c r="C1" s="357"/>
      <c r="D1" s="358"/>
    </row>
    <row r="2" spans="1:4" ht="18.75">
      <c r="A2" s="359">
        <v>2005</v>
      </c>
      <c r="B2" s="360"/>
      <c r="C2" s="360"/>
      <c r="D2" s="361"/>
    </row>
    <row r="3" spans="1:4" ht="18.75">
      <c r="A3" s="280" t="s">
        <v>515</v>
      </c>
      <c r="B3" s="281" t="s">
        <v>516</v>
      </c>
      <c r="C3" s="281" t="s">
        <v>517</v>
      </c>
      <c r="D3" s="284" t="s">
        <v>527</v>
      </c>
    </row>
    <row r="4" spans="1:4" ht="18.75">
      <c r="A4" s="280"/>
      <c r="B4" s="354" t="s">
        <v>526</v>
      </c>
      <c r="C4" s="355"/>
      <c r="D4" s="285" t="s">
        <v>528</v>
      </c>
    </row>
    <row r="5" spans="1:4" ht="18.75">
      <c r="A5" s="280" t="s">
        <v>518</v>
      </c>
      <c r="B5" s="282">
        <v>2573</v>
      </c>
      <c r="C5" s="283">
        <v>1247.6069166666668</v>
      </c>
      <c r="D5" s="286">
        <v>0.4848841495012308</v>
      </c>
    </row>
    <row r="6" spans="1:4" ht="18.75">
      <c r="A6" s="280" t="s">
        <v>519</v>
      </c>
      <c r="B6" s="282">
        <v>32621</v>
      </c>
      <c r="C6" s="283">
        <v>17706.291625</v>
      </c>
      <c r="D6" s="286">
        <v>0.5427881311118605</v>
      </c>
    </row>
    <row r="7" spans="1:4" ht="18.75">
      <c r="A7" s="280" t="s">
        <v>520</v>
      </c>
      <c r="B7" s="282">
        <v>5472</v>
      </c>
      <c r="C7" s="283">
        <v>2771.705791666667</v>
      </c>
      <c r="D7" s="286">
        <v>0.5065251812256336</v>
      </c>
    </row>
    <row r="8" spans="1:4" ht="18.75">
      <c r="A8" s="280" t="s">
        <v>521</v>
      </c>
      <c r="B8" s="282">
        <v>4339</v>
      </c>
      <c r="C8" s="283">
        <v>2230.2614166666667</v>
      </c>
      <c r="D8" s="286">
        <v>0.5140035530460167</v>
      </c>
    </row>
    <row r="9" spans="1:4" ht="18.75">
      <c r="A9" s="280" t="s">
        <v>522</v>
      </c>
      <c r="B9" s="282">
        <v>10240</v>
      </c>
      <c r="C9" s="283">
        <v>5637.999291666667</v>
      </c>
      <c r="D9" s="286">
        <v>0.550585868326823</v>
      </c>
    </row>
    <row r="10" spans="1:4" ht="18.75">
      <c r="A10" s="280" t="s">
        <v>523</v>
      </c>
      <c r="B10" s="282">
        <v>5133</v>
      </c>
      <c r="C10" s="283">
        <v>3429.5077083333335</v>
      </c>
      <c r="D10" s="286">
        <v>0.6681293022274174</v>
      </c>
    </row>
    <row r="11" spans="1:4" ht="18.75">
      <c r="A11" s="280" t="s">
        <v>524</v>
      </c>
      <c r="B11" s="282">
        <v>3706</v>
      </c>
      <c r="C11" s="283">
        <v>1727.0067916666667</v>
      </c>
      <c r="D11" s="286">
        <v>0.46600291194459437</v>
      </c>
    </row>
    <row r="12" spans="1:4" ht="18.75">
      <c r="A12" s="287" t="s">
        <v>525</v>
      </c>
      <c r="B12" s="288">
        <v>8886</v>
      </c>
      <c r="C12" s="289">
        <v>3063.5272916666668</v>
      </c>
      <c r="D12" s="290">
        <v>0.3447588669442569</v>
      </c>
    </row>
    <row r="14" spans="1:2" ht="15.75">
      <c r="A14" s="293" t="s">
        <v>530</v>
      </c>
      <c r="B14" t="s">
        <v>531</v>
      </c>
    </row>
    <row r="15" ht="12.75">
      <c r="B15" t="s">
        <v>532</v>
      </c>
    </row>
    <row r="18" spans="1:2" ht="18.75" customHeight="1">
      <c r="A18" s="364" t="s">
        <v>533</v>
      </c>
      <c r="B18" s="331"/>
    </row>
    <row r="19" spans="1:2" ht="18">
      <c r="A19" s="362">
        <v>2005</v>
      </c>
      <c r="B19" s="363"/>
    </row>
    <row r="20" spans="1:2" ht="18.75">
      <c r="A20" s="292" t="s">
        <v>515</v>
      </c>
      <c r="B20" s="284" t="s">
        <v>534</v>
      </c>
    </row>
    <row r="21" spans="1:2" ht="18.75">
      <c r="A21" s="292"/>
      <c r="B21" s="285" t="s">
        <v>526</v>
      </c>
    </row>
    <row r="22" spans="1:2" ht="18.75">
      <c r="A22" s="292" t="s">
        <v>518</v>
      </c>
      <c r="B22" s="285">
        <v>0</v>
      </c>
    </row>
    <row r="23" spans="1:2" ht="18.75">
      <c r="A23" s="292" t="s">
        <v>519</v>
      </c>
      <c r="B23" s="285">
        <v>21000</v>
      </c>
    </row>
    <row r="24" spans="1:2" ht="18.75">
      <c r="A24" s="292" t="s">
        <v>520</v>
      </c>
      <c r="B24" s="285">
        <v>5600</v>
      </c>
    </row>
    <row r="25" spans="1:2" ht="18.75">
      <c r="A25" s="292" t="s">
        <v>521</v>
      </c>
      <c r="B25" s="285">
        <v>1800</v>
      </c>
    </row>
    <row r="26" spans="1:2" ht="18.75">
      <c r="A26" s="292" t="s">
        <v>522</v>
      </c>
      <c r="B26" s="285">
        <v>4600</v>
      </c>
    </row>
    <row r="27" spans="1:2" ht="18.75">
      <c r="A27" s="292" t="s">
        <v>523</v>
      </c>
      <c r="B27" s="285">
        <v>-1500</v>
      </c>
    </row>
    <row r="28" spans="1:2" ht="18.75">
      <c r="A28" s="287" t="s">
        <v>524</v>
      </c>
      <c r="B28" s="291">
        <v>100.00000000000142</v>
      </c>
    </row>
    <row r="30" spans="1:2" ht="15.75">
      <c r="A30" s="293" t="s">
        <v>530</v>
      </c>
      <c r="B30" t="s">
        <v>535</v>
      </c>
    </row>
    <row r="31" ht="12.75">
      <c r="B31" t="s">
        <v>532</v>
      </c>
    </row>
    <row r="34" spans="1:5" ht="20.25">
      <c r="A34" s="353" t="s">
        <v>539</v>
      </c>
      <c r="B34" s="353"/>
      <c r="C34" s="353"/>
      <c r="D34" s="353"/>
      <c r="E34" s="353"/>
    </row>
    <row r="35" spans="1:5" ht="15.75">
      <c r="A35" s="294"/>
      <c r="B35" s="352" t="s">
        <v>538</v>
      </c>
      <c r="C35" s="352"/>
      <c r="D35" s="295"/>
      <c r="E35" s="296"/>
    </row>
    <row r="36" spans="1:5" ht="12.75">
      <c r="A36" s="297" t="s">
        <v>34</v>
      </c>
      <c r="B36" s="298" t="s">
        <v>178</v>
      </c>
      <c r="C36" s="298" t="s">
        <v>1</v>
      </c>
      <c r="D36" s="298" t="s">
        <v>178</v>
      </c>
      <c r="E36" s="299" t="s">
        <v>1</v>
      </c>
    </row>
    <row r="37" spans="1:5" ht="12.75">
      <c r="A37" s="297"/>
      <c r="B37" s="298" t="s">
        <v>536</v>
      </c>
      <c r="C37" s="298" t="s">
        <v>536</v>
      </c>
      <c r="D37" s="298" t="s">
        <v>537</v>
      </c>
      <c r="E37" s="299" t="s">
        <v>537</v>
      </c>
    </row>
    <row r="38" spans="1:5" ht="12.75">
      <c r="A38" s="300">
        <v>2005</v>
      </c>
      <c r="B38" s="301">
        <v>41081</v>
      </c>
      <c r="C38" s="301">
        <v>40187</v>
      </c>
      <c r="D38" s="302">
        <v>0.5055</v>
      </c>
      <c r="E38" s="303">
        <v>0.4945</v>
      </c>
    </row>
    <row r="40" spans="1:2" ht="15.75">
      <c r="A40" s="293" t="s">
        <v>530</v>
      </c>
      <c r="B40" t="s">
        <v>540</v>
      </c>
    </row>
    <row r="41" ht="12.75">
      <c r="B41" t="s">
        <v>532</v>
      </c>
    </row>
    <row r="42" ht="12.75">
      <c r="B42" t="s">
        <v>541</v>
      </c>
    </row>
    <row r="43" ht="12.75">
      <c r="C43" t="s">
        <v>542</v>
      </c>
    </row>
  </sheetData>
  <mergeCells count="7">
    <mergeCell ref="B35:C35"/>
    <mergeCell ref="A34:E34"/>
    <mergeCell ref="B4:C4"/>
    <mergeCell ref="A1:D1"/>
    <mergeCell ref="A2:D2"/>
    <mergeCell ref="A19:B19"/>
    <mergeCell ref="A18:B1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66"/>
  <sheetViews>
    <sheetView workbookViewId="0" topLeftCell="A1">
      <selection activeCell="A1" sqref="A1"/>
    </sheetView>
  </sheetViews>
  <sheetFormatPr defaultColWidth="9.140625" defaultRowHeight="12.75"/>
  <cols>
    <col min="1" max="1" width="68.8515625" style="0" customWidth="1"/>
    <col min="2" max="2" width="9.7109375" style="0" customWidth="1"/>
  </cols>
  <sheetData>
    <row r="1" spans="1:7" ht="15.75">
      <c r="A1" s="59" t="s">
        <v>173</v>
      </c>
      <c r="B1">
        <f>INPUT!C1</f>
        <v>2005</v>
      </c>
      <c r="C1">
        <v>2003</v>
      </c>
      <c r="D1">
        <v>2004</v>
      </c>
      <c r="E1" s="309">
        <v>2005</v>
      </c>
      <c r="F1" s="309">
        <v>2006</v>
      </c>
      <c r="G1" s="309">
        <v>2007</v>
      </c>
    </row>
    <row r="2" spans="3:4" ht="12.75">
      <c r="C2" s="1"/>
      <c r="D2" s="1"/>
    </row>
    <row r="3" spans="1:4" ht="15.75">
      <c r="A3" s="10" t="s">
        <v>174</v>
      </c>
      <c r="C3" s="1"/>
      <c r="D3" s="1"/>
    </row>
    <row r="4" spans="1:4" ht="12.75">
      <c r="A4" s="8" t="s">
        <v>175</v>
      </c>
      <c r="C4" s="1"/>
      <c r="D4" s="1"/>
    </row>
    <row r="5" spans="1:5" ht="12.75">
      <c r="A5" s="52" t="str">
        <f>INPUT!B46</f>
        <v>Imported Water Nebraska</v>
      </c>
      <c r="B5" s="52">
        <f>+INPUT!C46</f>
        <v>0</v>
      </c>
      <c r="C5">
        <v>0</v>
      </c>
      <c r="D5">
        <v>0</v>
      </c>
      <c r="E5">
        <f>D5</f>
        <v>0</v>
      </c>
    </row>
    <row r="6" spans="1:5" ht="12.75">
      <c r="A6" s="52" t="str">
        <f>INPUT!B4</f>
        <v>GW CBCU Colorado</v>
      </c>
      <c r="B6" s="52">
        <f>+INPUT!C4</f>
        <v>14359</v>
      </c>
      <c r="C6">
        <v>14023</v>
      </c>
      <c r="D6">
        <v>14373</v>
      </c>
      <c r="E6">
        <f>D6</f>
        <v>14373</v>
      </c>
    </row>
    <row r="7" spans="1:5" ht="12.75">
      <c r="A7" s="52" t="str">
        <f>INPUT!B5</f>
        <v>GW CBCU Kansas</v>
      </c>
      <c r="B7" s="52">
        <f>+INPUT!C5</f>
        <v>17</v>
      </c>
      <c r="C7">
        <v>17</v>
      </c>
      <c r="D7">
        <v>16</v>
      </c>
      <c r="E7">
        <f aca="true" t="shared" si="0" ref="E7:E66">D7</f>
        <v>16</v>
      </c>
    </row>
    <row r="8" spans="1:5" ht="12" customHeight="1">
      <c r="A8" s="52" t="str">
        <f>INPUT!B6</f>
        <v>GW CBCU Nebraska</v>
      </c>
      <c r="B8" s="52">
        <f>+INPUT!C6</f>
        <v>1443</v>
      </c>
      <c r="C8">
        <v>1402</v>
      </c>
      <c r="D8">
        <v>1446</v>
      </c>
      <c r="E8">
        <f t="shared" si="0"/>
        <v>1446</v>
      </c>
    </row>
    <row r="9" spans="1:5" ht="12" customHeight="1">
      <c r="A9" s="9"/>
      <c r="B9" s="9"/>
      <c r="E9">
        <f t="shared" si="0"/>
        <v>0</v>
      </c>
    </row>
    <row r="10" spans="1:5" ht="12.75">
      <c r="A10" s="5" t="s">
        <v>177</v>
      </c>
      <c r="B10" s="2"/>
      <c r="E10">
        <f t="shared" si="0"/>
        <v>0</v>
      </c>
    </row>
    <row r="11" spans="1:5" ht="12.75">
      <c r="A11" s="56" t="str">
        <f>INPUT!B183</f>
        <v>North Fork Republican River At Colorado-Nebraska State Line</v>
      </c>
      <c r="B11" s="52">
        <f>+INPUT!C183</f>
        <v>21060</v>
      </c>
      <c r="C11">
        <v>17700</v>
      </c>
      <c r="D11">
        <v>19759</v>
      </c>
      <c r="E11">
        <f t="shared" si="0"/>
        <v>19759</v>
      </c>
    </row>
    <row r="12" spans="1:5" ht="12.75">
      <c r="A12" s="56" t="str">
        <f>INPUT!B231</f>
        <v>Haigler Canal Diversions - Colorado</v>
      </c>
      <c r="B12" s="52">
        <f>+INPUT!C231</f>
        <v>2423</v>
      </c>
      <c r="C12">
        <v>1948</v>
      </c>
      <c r="D12">
        <v>2072</v>
      </c>
      <c r="E12">
        <f t="shared" si="0"/>
        <v>2072</v>
      </c>
    </row>
    <row r="13" spans="1:5" ht="12.75">
      <c r="A13" s="56" t="str">
        <f>INPUT!B62</f>
        <v>SW Diversions - Irrigation -Non-Federal Canals- Colorado</v>
      </c>
      <c r="B13" s="52">
        <f>+INPUT!C62</f>
        <v>2790</v>
      </c>
      <c r="C13">
        <v>2410</v>
      </c>
      <c r="D13">
        <v>2888.7</v>
      </c>
      <c r="E13">
        <f t="shared" si="0"/>
        <v>2888.7</v>
      </c>
    </row>
    <row r="14" spans="1:5" ht="12.75">
      <c r="A14" s="105" t="str">
        <f>INPUT!B63</f>
        <v>SW Diversions - Irrigation - Small Pumps - Colorado</v>
      </c>
      <c r="B14" s="106">
        <f>INPUT!C63</f>
        <v>0</v>
      </c>
      <c r="C14">
        <v>0</v>
      </c>
      <c r="D14">
        <v>0</v>
      </c>
      <c r="E14">
        <f t="shared" si="0"/>
        <v>0</v>
      </c>
    </row>
    <row r="15" spans="1:5" ht="12.75">
      <c r="A15" s="56" t="str">
        <f>INPUT!B64</f>
        <v>SW Diversions - M&amp;I - Colorado</v>
      </c>
      <c r="B15" s="52">
        <f>+INPUT!C64</f>
        <v>0</v>
      </c>
      <c r="C15">
        <v>0</v>
      </c>
      <c r="D15">
        <v>0</v>
      </c>
      <c r="E15">
        <f t="shared" si="0"/>
        <v>0</v>
      </c>
    </row>
    <row r="16" spans="1:5" ht="12.75">
      <c r="A16" s="56" t="str">
        <f>INPUT!B232</f>
        <v>Haigler Canal Diversions - Nebraska</v>
      </c>
      <c r="B16" s="52">
        <f>+INPUT!C232</f>
        <v>4745</v>
      </c>
      <c r="C16">
        <v>4965</v>
      </c>
      <c r="D16">
        <v>3732</v>
      </c>
      <c r="E16">
        <f t="shared" si="0"/>
        <v>3732</v>
      </c>
    </row>
    <row r="17" spans="1:5" ht="12.75">
      <c r="A17" s="56" t="str">
        <f>INPUT!B153</f>
        <v>Non-Federal Reservoir Evaporation - Colorado</v>
      </c>
      <c r="B17" s="52">
        <f>+INPUT!C153</f>
        <v>43</v>
      </c>
      <c r="C17">
        <v>0</v>
      </c>
      <c r="D17">
        <v>46.16333333333334</v>
      </c>
      <c r="E17">
        <f t="shared" si="0"/>
        <v>46.16333333333334</v>
      </c>
    </row>
    <row r="18" spans="1:5" ht="12.75">
      <c r="A18" s="52" t="str">
        <f>+INPUT!B199</f>
        <v>North Fork Flood Flow</v>
      </c>
      <c r="B18" s="52">
        <f>+INPUT!C199</f>
        <v>0</v>
      </c>
      <c r="C18">
        <v>0</v>
      </c>
      <c r="D18">
        <v>0</v>
      </c>
      <c r="E18">
        <f t="shared" si="0"/>
        <v>0</v>
      </c>
    </row>
    <row r="19" spans="1:5" ht="12.75">
      <c r="A19" s="6" t="s">
        <v>81</v>
      </c>
      <c r="B19" s="2"/>
      <c r="E19">
        <f t="shared" si="0"/>
        <v>0</v>
      </c>
    </row>
    <row r="20" spans="1:5" ht="15.75">
      <c r="A20" s="10" t="s">
        <v>258</v>
      </c>
      <c r="B20" s="2"/>
      <c r="E20">
        <f t="shared" si="0"/>
        <v>0</v>
      </c>
    </row>
    <row r="21" spans="1:5" ht="12.75">
      <c r="A21" s="8" t="s">
        <v>0</v>
      </c>
      <c r="B21" s="2"/>
      <c r="E21">
        <f t="shared" si="0"/>
        <v>0</v>
      </c>
    </row>
    <row r="22" spans="1:5" ht="12.75">
      <c r="A22" s="75" t="str">
        <f>(LEFT(INPUT!B231,13))&amp;" "&amp;"CBCU"</f>
        <v>Haigler Canal CBCU</v>
      </c>
      <c r="B22" s="2">
        <f>B12*CanalCUPercent</f>
        <v>1453.8</v>
      </c>
      <c r="C22">
        <v>1168.8</v>
      </c>
      <c r="D22">
        <v>1243.2</v>
      </c>
      <c r="E22">
        <f t="shared" si="0"/>
        <v>1243.2</v>
      </c>
    </row>
    <row r="23" spans="1:5" ht="12.75">
      <c r="A23" s="2" t="s">
        <v>247</v>
      </c>
      <c r="B23" s="2">
        <f>B13*CanalCUPercent</f>
        <v>1674</v>
      </c>
      <c r="C23">
        <v>1446</v>
      </c>
      <c r="D23">
        <v>1733.22</v>
      </c>
      <c r="E23">
        <f t="shared" si="0"/>
        <v>1733.22</v>
      </c>
    </row>
    <row r="24" spans="1:5" ht="12.75">
      <c r="A24" s="2" t="s">
        <v>248</v>
      </c>
      <c r="B24" s="2">
        <f>B14*PumperCUPercent</f>
        <v>0</v>
      </c>
      <c r="C24">
        <v>0</v>
      </c>
      <c r="D24">
        <v>0</v>
      </c>
      <c r="E24">
        <f t="shared" si="0"/>
        <v>0</v>
      </c>
    </row>
    <row r="25" spans="1:5" ht="12.75">
      <c r="A25" s="2" t="s">
        <v>249</v>
      </c>
      <c r="B25" s="2">
        <f>B15*MI_CUPercent</f>
        <v>0</v>
      </c>
      <c r="C25">
        <v>0</v>
      </c>
      <c r="D25">
        <v>0</v>
      </c>
      <c r="E25">
        <f t="shared" si="0"/>
        <v>0</v>
      </c>
    </row>
    <row r="26" spans="1:5" ht="12.75">
      <c r="A26" s="9" t="s">
        <v>463</v>
      </c>
      <c r="B26" s="2">
        <f>+B17</f>
        <v>43</v>
      </c>
      <c r="C26">
        <v>0</v>
      </c>
      <c r="D26">
        <v>46.16333333333334</v>
      </c>
      <c r="E26">
        <f t="shared" si="0"/>
        <v>46.16333333333334</v>
      </c>
    </row>
    <row r="27" spans="1:5" ht="12.75">
      <c r="A27" s="2" t="s">
        <v>235</v>
      </c>
      <c r="B27" s="73">
        <f>B22+B23+B24+B25+B26</f>
        <v>3170.8</v>
      </c>
      <c r="C27">
        <v>2614.8</v>
      </c>
      <c r="D27">
        <v>3022.5833333333335</v>
      </c>
      <c r="E27">
        <f t="shared" si="0"/>
        <v>3022.5833333333335</v>
      </c>
    </row>
    <row r="28" spans="1:5" ht="12.75">
      <c r="A28" s="2" t="s">
        <v>236</v>
      </c>
      <c r="B28" s="16">
        <f>B6</f>
        <v>14359</v>
      </c>
      <c r="C28">
        <v>14023</v>
      </c>
      <c r="D28">
        <v>14373</v>
      </c>
      <c r="E28">
        <f t="shared" si="0"/>
        <v>14373</v>
      </c>
    </row>
    <row r="29" spans="1:5" ht="12.75">
      <c r="A29" s="2" t="s">
        <v>251</v>
      </c>
      <c r="B29" s="4">
        <f>(ROUND(SUM(B27:B28),-1))</f>
        <v>17530</v>
      </c>
      <c r="C29">
        <v>16640</v>
      </c>
      <c r="D29">
        <v>17400</v>
      </c>
      <c r="E29">
        <f t="shared" si="0"/>
        <v>17400</v>
      </c>
    </row>
    <row r="30" spans="1:5" ht="12.75">
      <c r="A30" s="2" t="s">
        <v>81</v>
      </c>
      <c r="B30" s="2"/>
      <c r="E30">
        <f t="shared" si="0"/>
        <v>0</v>
      </c>
    </row>
    <row r="31" spans="1:5" ht="12.75">
      <c r="A31" s="8" t="s">
        <v>178</v>
      </c>
      <c r="B31" s="2"/>
      <c r="E31">
        <f t="shared" si="0"/>
        <v>0</v>
      </c>
    </row>
    <row r="32" spans="1:5" ht="12.75">
      <c r="A32" s="2" t="str">
        <f>A28</f>
        <v>GW CBCU</v>
      </c>
      <c r="B32" s="16">
        <f>B7</f>
        <v>17</v>
      </c>
      <c r="C32">
        <v>17</v>
      </c>
      <c r="D32">
        <v>16</v>
      </c>
      <c r="E32">
        <f t="shared" si="0"/>
        <v>16</v>
      </c>
    </row>
    <row r="33" spans="1:5" ht="12.75">
      <c r="A33" s="2" t="str">
        <f>A29</f>
        <v>Total CBCU</v>
      </c>
      <c r="B33" s="4">
        <f>(ROUND(SUM(B32:B32),-1))</f>
        <v>20</v>
      </c>
      <c r="C33">
        <v>20</v>
      </c>
      <c r="D33">
        <v>20</v>
      </c>
      <c r="E33">
        <f t="shared" si="0"/>
        <v>20</v>
      </c>
    </row>
    <row r="34" spans="1:5" ht="12.75">
      <c r="A34" s="2" t="s">
        <v>81</v>
      </c>
      <c r="B34" s="2"/>
      <c r="E34">
        <f t="shared" si="0"/>
        <v>0</v>
      </c>
    </row>
    <row r="35" spans="1:5" ht="12.75">
      <c r="A35" s="8" t="s">
        <v>1</v>
      </c>
      <c r="B35" s="2"/>
      <c r="E35">
        <f t="shared" si="0"/>
        <v>0</v>
      </c>
    </row>
    <row r="36" spans="1:5" ht="12.75">
      <c r="A36" s="12" t="str">
        <f>A22</f>
        <v>Haigler Canal CBCU</v>
      </c>
      <c r="B36" s="2">
        <f>+B16*CanalCUPercent</f>
        <v>2847</v>
      </c>
      <c r="C36">
        <v>2979</v>
      </c>
      <c r="D36">
        <v>2239.2</v>
      </c>
      <c r="E36">
        <f t="shared" si="0"/>
        <v>2239.2</v>
      </c>
    </row>
    <row r="37" spans="1:5" ht="13.5" customHeight="1">
      <c r="A37" s="2" t="str">
        <f>A27</f>
        <v>SW CBCU</v>
      </c>
      <c r="B37" s="73">
        <f>B36</f>
        <v>2847</v>
      </c>
      <c r="C37">
        <v>2979</v>
      </c>
      <c r="D37">
        <v>2239.2</v>
      </c>
      <c r="E37">
        <f t="shared" si="0"/>
        <v>2239.2</v>
      </c>
    </row>
    <row r="38" spans="1:5" ht="12.75">
      <c r="A38" s="2" t="str">
        <f>A28</f>
        <v>GW CBCU</v>
      </c>
      <c r="B38" s="16">
        <f>B8</f>
        <v>1443</v>
      </c>
      <c r="C38">
        <v>1402</v>
      </c>
      <c r="D38">
        <v>1446</v>
      </c>
      <c r="E38">
        <f t="shared" si="0"/>
        <v>1446</v>
      </c>
    </row>
    <row r="39" spans="1:5" ht="12.75">
      <c r="A39" s="2" t="str">
        <f>A29</f>
        <v>Total CBCU</v>
      </c>
      <c r="B39" s="4">
        <f>(ROUND(SUM(B37:B38),-1))</f>
        <v>4290</v>
      </c>
      <c r="C39">
        <v>4380</v>
      </c>
      <c r="D39">
        <v>3690</v>
      </c>
      <c r="E39">
        <f t="shared" si="0"/>
        <v>3690</v>
      </c>
    </row>
    <row r="40" spans="1:5" ht="12.75">
      <c r="A40" s="9" t="s">
        <v>81</v>
      </c>
      <c r="B40" s="2"/>
      <c r="E40">
        <f t="shared" si="0"/>
        <v>0</v>
      </c>
    </row>
    <row r="41" spans="1:5" ht="12.75">
      <c r="A41" s="5" t="s">
        <v>179</v>
      </c>
      <c r="B41" s="2"/>
      <c r="E41">
        <f t="shared" si="0"/>
        <v>0</v>
      </c>
    </row>
    <row r="42" spans="1:5" ht="12.75">
      <c r="A42" s="9" t="s">
        <v>237</v>
      </c>
      <c r="B42" s="4">
        <f>+B27+B37</f>
        <v>6017.8</v>
      </c>
      <c r="C42">
        <v>5593.8</v>
      </c>
      <c r="D42">
        <v>5261.783333333333</v>
      </c>
      <c r="E42">
        <f t="shared" si="0"/>
        <v>5261.783333333333</v>
      </c>
    </row>
    <row r="43" spans="1:5" ht="12.75">
      <c r="A43" s="9" t="s">
        <v>238</v>
      </c>
      <c r="B43" s="4">
        <f>+B28+B32+B38</f>
        <v>15819</v>
      </c>
      <c r="C43">
        <v>15442</v>
      </c>
      <c r="D43">
        <v>15835</v>
      </c>
      <c r="E43">
        <f t="shared" si="0"/>
        <v>15835</v>
      </c>
    </row>
    <row r="44" spans="1:5" ht="12.75">
      <c r="A44" s="9" t="s">
        <v>239</v>
      </c>
      <c r="B44" s="4">
        <f>SUM(B42:B43)</f>
        <v>21836.8</v>
      </c>
      <c r="C44">
        <v>21035.8</v>
      </c>
      <c r="D44">
        <v>21096.783333333333</v>
      </c>
      <c r="E44">
        <f t="shared" si="0"/>
        <v>21096.783333333333</v>
      </c>
    </row>
    <row r="45" spans="1:5" ht="12.75">
      <c r="A45" s="9" t="s">
        <v>81</v>
      </c>
      <c r="B45" s="2"/>
      <c r="E45">
        <f t="shared" si="0"/>
        <v>0</v>
      </c>
    </row>
    <row r="46" spans="1:5" ht="15.75">
      <c r="A46" s="11" t="s">
        <v>10</v>
      </c>
      <c r="B46" s="2"/>
      <c r="E46">
        <f t="shared" si="0"/>
        <v>0</v>
      </c>
    </row>
    <row r="47" spans="1:5" ht="12.75">
      <c r="A47" s="2" t="str">
        <f>A11</f>
        <v>North Fork Republican River At Colorado-Nebraska State Line</v>
      </c>
      <c r="B47" s="4">
        <f>B11</f>
        <v>21060</v>
      </c>
      <c r="C47">
        <v>17700</v>
      </c>
      <c r="D47">
        <v>19759</v>
      </c>
      <c r="E47">
        <f t="shared" si="0"/>
        <v>19759</v>
      </c>
    </row>
    <row r="48" spans="1:5" ht="12.75">
      <c r="A48" s="2" t="s">
        <v>181</v>
      </c>
      <c r="B48" s="4">
        <f>B16-B36</f>
        <v>1898</v>
      </c>
      <c r="C48">
        <v>1986</v>
      </c>
      <c r="D48">
        <v>1492.8</v>
      </c>
      <c r="E48">
        <f t="shared" si="0"/>
        <v>1492.8</v>
      </c>
    </row>
    <row r="49" spans="1:5" ht="12.75">
      <c r="A49" s="2" t="s">
        <v>240</v>
      </c>
      <c r="B49" s="4">
        <f>+B29</f>
        <v>17530</v>
      </c>
      <c r="C49">
        <v>16640</v>
      </c>
      <c r="D49">
        <v>17400</v>
      </c>
      <c r="E49">
        <f t="shared" si="0"/>
        <v>17400</v>
      </c>
    </row>
    <row r="50" spans="1:5" ht="12.75">
      <c r="A50" s="2" t="s">
        <v>241</v>
      </c>
      <c r="B50" s="4">
        <f>+B33</f>
        <v>20</v>
      </c>
      <c r="C50">
        <v>20</v>
      </c>
      <c r="D50">
        <v>20</v>
      </c>
      <c r="E50">
        <f t="shared" si="0"/>
        <v>20</v>
      </c>
    </row>
    <row r="51" spans="1:5" ht="12.75">
      <c r="A51" s="2" t="s">
        <v>242</v>
      </c>
      <c r="B51" s="4">
        <f>+B39</f>
        <v>4290</v>
      </c>
      <c r="C51">
        <v>4380</v>
      </c>
      <c r="D51">
        <v>3690</v>
      </c>
      <c r="E51">
        <f t="shared" si="0"/>
        <v>3690</v>
      </c>
    </row>
    <row r="52" spans="1:5" ht="12.75">
      <c r="A52" s="2" t="s">
        <v>180</v>
      </c>
      <c r="B52" s="16">
        <f>+B5</f>
        <v>0</v>
      </c>
      <c r="C52">
        <v>0</v>
      </c>
      <c r="D52">
        <v>0</v>
      </c>
      <c r="E52">
        <f t="shared" si="0"/>
        <v>0</v>
      </c>
    </row>
    <row r="53" spans="1:5" ht="12.75">
      <c r="A53" s="2" t="s">
        <v>10</v>
      </c>
      <c r="B53" s="4">
        <f>ROUND(SUM(B47:B51)-B52,-1)</f>
        <v>44800</v>
      </c>
      <c r="C53">
        <v>40730</v>
      </c>
      <c r="D53">
        <v>42360</v>
      </c>
      <c r="E53">
        <f t="shared" si="0"/>
        <v>42360</v>
      </c>
    </row>
    <row r="54" spans="1:5" ht="12.75">
      <c r="A54" s="2" t="s">
        <v>182</v>
      </c>
      <c r="B54" s="2">
        <f>B18</f>
        <v>0</v>
      </c>
      <c r="C54">
        <v>0</v>
      </c>
      <c r="D54">
        <v>0</v>
      </c>
      <c r="E54">
        <f t="shared" si="0"/>
        <v>0</v>
      </c>
    </row>
    <row r="55" spans="1:5" ht="12.75">
      <c r="A55" s="2" t="s">
        <v>11</v>
      </c>
      <c r="B55" s="4">
        <f>ROUND(+B53-B54,-1)</f>
        <v>44800</v>
      </c>
      <c r="C55">
        <v>40730</v>
      </c>
      <c r="D55">
        <v>42360</v>
      </c>
      <c r="E55">
        <f t="shared" si="0"/>
        <v>42360</v>
      </c>
    </row>
    <row r="56" spans="1:5" ht="12.75">
      <c r="A56" s="9" t="s">
        <v>81</v>
      </c>
      <c r="B56" s="2"/>
      <c r="E56">
        <f t="shared" si="0"/>
        <v>0</v>
      </c>
    </row>
    <row r="57" spans="1:5" ht="15.75">
      <c r="A57" s="11" t="s">
        <v>12</v>
      </c>
      <c r="B57" s="13"/>
      <c r="E57">
        <f t="shared" si="0"/>
        <v>0</v>
      </c>
    </row>
    <row r="58" spans="1:5" ht="12.75">
      <c r="A58" s="2" t="s">
        <v>183</v>
      </c>
      <c r="B58" s="72">
        <f>'T2'!D3</f>
        <v>0.224</v>
      </c>
      <c r="C58">
        <v>0.224</v>
      </c>
      <c r="D58">
        <v>0.224</v>
      </c>
      <c r="E58">
        <f t="shared" si="0"/>
        <v>0.224</v>
      </c>
    </row>
    <row r="59" spans="1:5" ht="12.75">
      <c r="A59" s="2" t="s">
        <v>27</v>
      </c>
      <c r="B59" s="29">
        <f>ROUND(+B55*B58,-1)</f>
        <v>10040</v>
      </c>
      <c r="C59">
        <v>9120</v>
      </c>
      <c r="D59">
        <v>9490</v>
      </c>
      <c r="E59">
        <f t="shared" si="0"/>
        <v>9490</v>
      </c>
    </row>
    <row r="60" spans="1:5" ht="12.75">
      <c r="A60" s="2" t="s">
        <v>184</v>
      </c>
      <c r="B60" s="72">
        <f>'T2'!F3</f>
        <v>0</v>
      </c>
      <c r="C60">
        <v>0</v>
      </c>
      <c r="D60">
        <v>0</v>
      </c>
      <c r="E60">
        <f t="shared" si="0"/>
        <v>0</v>
      </c>
    </row>
    <row r="61" spans="1:5" ht="12.75">
      <c r="A61" s="2" t="s">
        <v>29</v>
      </c>
      <c r="B61" s="29">
        <f>ROUND(B55*B60,-1)</f>
        <v>0</v>
      </c>
      <c r="C61">
        <v>0</v>
      </c>
      <c r="D61">
        <v>0</v>
      </c>
      <c r="E61">
        <f t="shared" si="0"/>
        <v>0</v>
      </c>
    </row>
    <row r="62" spans="1:5" ht="12.75">
      <c r="A62" s="2" t="s">
        <v>185</v>
      </c>
      <c r="B62" s="72">
        <f>'T2'!H3</f>
        <v>0.246</v>
      </c>
      <c r="C62">
        <v>0.246</v>
      </c>
      <c r="D62">
        <v>0.246</v>
      </c>
      <c r="E62">
        <f t="shared" si="0"/>
        <v>0.246</v>
      </c>
    </row>
    <row r="63" spans="1:5" ht="12.75">
      <c r="A63" s="2" t="s">
        <v>30</v>
      </c>
      <c r="B63" s="29">
        <f>ROUND(B55*B62,-1)</f>
        <v>11020</v>
      </c>
      <c r="C63">
        <v>10020</v>
      </c>
      <c r="D63">
        <v>10420</v>
      </c>
      <c r="E63">
        <f t="shared" si="0"/>
        <v>10420</v>
      </c>
    </row>
    <row r="64" spans="1:5" ht="12.75">
      <c r="A64" s="2" t="s">
        <v>186</v>
      </c>
      <c r="B64" s="29">
        <f>+B59+B61+B63</f>
        <v>21060</v>
      </c>
      <c r="C64">
        <v>19140</v>
      </c>
      <c r="D64">
        <v>19910</v>
      </c>
      <c r="E64">
        <f t="shared" si="0"/>
        <v>19910</v>
      </c>
    </row>
    <row r="65" spans="1:5" ht="12.75">
      <c r="A65" s="2" t="s">
        <v>187</v>
      </c>
      <c r="B65" s="72">
        <f>'T2'!J3</f>
        <v>0.53</v>
      </c>
      <c r="C65">
        <v>0.53</v>
      </c>
      <c r="D65">
        <v>0.53</v>
      </c>
      <c r="E65">
        <f t="shared" si="0"/>
        <v>0.53</v>
      </c>
    </row>
    <row r="66" spans="1:5" ht="12.75">
      <c r="A66" s="2" t="s">
        <v>188</v>
      </c>
      <c r="B66" s="4">
        <f>+B55-B59-B61-B63</f>
        <v>23740</v>
      </c>
      <c r="C66">
        <v>21590</v>
      </c>
      <c r="D66">
        <v>22450</v>
      </c>
      <c r="E66">
        <f t="shared" si="0"/>
        <v>22450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4" max="2"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G78"/>
  <sheetViews>
    <sheetView workbookViewId="0" topLeftCell="A1">
      <selection activeCell="A1" sqref="A1"/>
    </sheetView>
  </sheetViews>
  <sheetFormatPr defaultColWidth="9.140625" defaultRowHeight="12.75"/>
  <cols>
    <col min="1" max="1" width="69.421875" style="0" customWidth="1"/>
    <col min="2" max="2" width="7.8515625" style="0" customWidth="1"/>
  </cols>
  <sheetData>
    <row r="1" spans="1:7" ht="15.75">
      <c r="A1" s="59" t="s">
        <v>216</v>
      </c>
      <c r="B1">
        <f>INPUT!C1</f>
        <v>2005</v>
      </c>
      <c r="C1">
        <v>2003</v>
      </c>
      <c r="D1">
        <v>2004</v>
      </c>
      <c r="E1" s="309">
        <v>2005</v>
      </c>
      <c r="F1" s="309">
        <v>2006</v>
      </c>
      <c r="G1" s="309">
        <v>2007</v>
      </c>
    </row>
    <row r="2" spans="1:4" ht="12.75">
      <c r="C2" s="1"/>
      <c r="D2" s="1"/>
    </row>
    <row r="3" spans="1:4" ht="15.75">
      <c r="A3" s="10" t="s">
        <v>174</v>
      </c>
      <c r="C3" s="1"/>
      <c r="D3" s="1"/>
    </row>
    <row r="4" spans="1:4" ht="12.75">
      <c r="A4" s="8" t="s">
        <v>175</v>
      </c>
      <c r="B4" s="1"/>
      <c r="C4" s="1"/>
      <c r="D4" s="1"/>
    </row>
    <row r="5" spans="1:5" ht="12.75">
      <c r="A5" s="52" t="str">
        <f>INPUT!B47</f>
        <v>Imported Water Nebraska</v>
      </c>
      <c r="B5" s="52">
        <f>+INPUT!C47</f>
        <v>0</v>
      </c>
      <c r="C5">
        <v>0</v>
      </c>
      <c r="D5">
        <v>0</v>
      </c>
      <c r="E5">
        <f>D5</f>
        <v>0</v>
      </c>
    </row>
    <row r="6" spans="1:5" ht="12.75">
      <c r="A6" s="52" t="str">
        <f>INPUT!B7</f>
        <v>GW CBCU Colorado</v>
      </c>
      <c r="B6" s="52">
        <f>+INPUT!C7</f>
        <v>811</v>
      </c>
      <c r="C6">
        <v>242</v>
      </c>
      <c r="D6">
        <v>353</v>
      </c>
      <c r="E6">
        <f>D6</f>
        <v>353</v>
      </c>
    </row>
    <row r="7" spans="1:5" ht="12.75">
      <c r="A7" s="52" t="str">
        <f>INPUT!B8</f>
        <v>GW CBCU Kansas</v>
      </c>
      <c r="B7" s="52">
        <f>+INPUT!C8</f>
        <v>122</v>
      </c>
      <c r="C7">
        <v>100</v>
      </c>
      <c r="D7">
        <v>116</v>
      </c>
      <c r="E7">
        <f aca="true" t="shared" si="0" ref="E7:E70">D7</f>
        <v>116</v>
      </c>
    </row>
    <row r="8" spans="1:5" ht="12" customHeight="1">
      <c r="A8" s="52" t="str">
        <f>INPUT!B9</f>
        <v>GW CBCU Nebraska</v>
      </c>
      <c r="B8" s="60">
        <f>+INPUT!C9</f>
        <v>250</v>
      </c>
      <c r="C8">
        <v>508</v>
      </c>
      <c r="D8">
        <v>431</v>
      </c>
      <c r="E8">
        <f t="shared" si="0"/>
        <v>431</v>
      </c>
    </row>
    <row r="9" spans="1:5" ht="12" customHeight="1">
      <c r="A9" s="61" t="s">
        <v>81</v>
      </c>
      <c r="B9" s="61"/>
      <c r="E9">
        <f t="shared" si="0"/>
        <v>0</v>
      </c>
    </row>
    <row r="10" spans="1:5" ht="12.75">
      <c r="A10" s="5" t="s">
        <v>177</v>
      </c>
      <c r="B10" s="2"/>
      <c r="E10">
        <f t="shared" si="0"/>
        <v>0</v>
      </c>
    </row>
    <row r="11" spans="1:5" ht="12.75">
      <c r="A11" s="52" t="str">
        <f>+INPUT!B184</f>
        <v>Arikaree River At Haigler</v>
      </c>
      <c r="B11" s="52">
        <f>+INPUT!C184</f>
        <v>1151</v>
      </c>
      <c r="C11">
        <v>1060</v>
      </c>
      <c r="D11">
        <v>341</v>
      </c>
      <c r="E11">
        <f t="shared" si="0"/>
        <v>341</v>
      </c>
    </row>
    <row r="12" spans="1:5" ht="12.75">
      <c r="A12" s="52" t="str">
        <f>INPUT!B65</f>
        <v>SW Diversions - Irrigation -Non-Federal Canals- Colorado</v>
      </c>
      <c r="B12" s="52">
        <f>INPUT!C65</f>
        <v>0</v>
      </c>
      <c r="C12">
        <v>0</v>
      </c>
      <c r="D12">
        <v>0</v>
      </c>
      <c r="E12">
        <f t="shared" si="0"/>
        <v>0</v>
      </c>
    </row>
    <row r="13" spans="1:5" ht="12.75">
      <c r="A13" s="107" t="str">
        <f>INPUT!B66</f>
        <v>SW Diversions - Irrigation - Small Pumps - Colorado</v>
      </c>
      <c r="B13" s="107">
        <f>INPUT!C66</f>
        <v>0</v>
      </c>
      <c r="C13">
        <v>0</v>
      </c>
      <c r="D13">
        <v>0</v>
      </c>
      <c r="E13">
        <f t="shared" si="0"/>
        <v>0</v>
      </c>
    </row>
    <row r="14" spans="1:5" ht="12.75">
      <c r="A14" s="107" t="str">
        <f>+INPUT!B67</f>
        <v>SW Diversions - M&amp;I - Colorado</v>
      </c>
      <c r="B14" s="107">
        <f>+INPUT!C67</f>
        <v>0</v>
      </c>
      <c r="C14">
        <v>0</v>
      </c>
      <c r="D14">
        <v>0</v>
      </c>
      <c r="E14">
        <f t="shared" si="0"/>
        <v>0</v>
      </c>
    </row>
    <row r="15" spans="1:5" ht="12.75">
      <c r="A15" s="107" t="str">
        <f>+INPUT!B68</f>
        <v>SW Diversions - Irrigation - Non-Federal Canals- Kansas</v>
      </c>
      <c r="B15" s="107">
        <f>+INPUT!C68</f>
        <v>0</v>
      </c>
      <c r="C15">
        <v>0</v>
      </c>
      <c r="D15">
        <v>0</v>
      </c>
      <c r="E15">
        <f t="shared" si="0"/>
        <v>0</v>
      </c>
    </row>
    <row r="16" spans="1:5" ht="12.75">
      <c r="A16" s="107" t="str">
        <f>+INPUT!B69</f>
        <v>SW Diversions - Irrigation - Small Pumps - Kansas</v>
      </c>
      <c r="B16" s="107">
        <f>+INPUT!C69</f>
        <v>0</v>
      </c>
      <c r="C16">
        <v>0</v>
      </c>
      <c r="D16">
        <v>0</v>
      </c>
      <c r="E16">
        <f t="shared" si="0"/>
        <v>0</v>
      </c>
    </row>
    <row r="17" spans="1:5" ht="12.75">
      <c r="A17" s="107" t="str">
        <f>+INPUT!B70</f>
        <v>SW Diversions - M&amp;I - Kansas</v>
      </c>
      <c r="B17" s="107">
        <f>+INPUT!C70</f>
        <v>0</v>
      </c>
      <c r="C17">
        <v>0</v>
      </c>
      <c r="D17">
        <v>0</v>
      </c>
      <c r="E17">
        <f t="shared" si="0"/>
        <v>0</v>
      </c>
    </row>
    <row r="18" spans="1:5" ht="12.75">
      <c r="A18" s="107" t="str">
        <f>+INPUT!B71</f>
        <v>SW Diversions - Irrigation - Non-Federal Canals - Nebraska</v>
      </c>
      <c r="B18" s="107">
        <f>+INPUT!C71</f>
        <v>0</v>
      </c>
      <c r="C18">
        <v>0</v>
      </c>
      <c r="D18">
        <v>0</v>
      </c>
      <c r="E18">
        <f t="shared" si="0"/>
        <v>0</v>
      </c>
    </row>
    <row r="19" spans="1:5" ht="12.75">
      <c r="A19" s="52" t="str">
        <f>+INPUT!B72</f>
        <v>SW Diversions - Irrigation - Small Pumps - Nebraska</v>
      </c>
      <c r="B19" s="52">
        <f>+INPUT!C72</f>
        <v>0</v>
      </c>
      <c r="C19">
        <v>0</v>
      </c>
      <c r="D19">
        <v>0</v>
      </c>
      <c r="E19">
        <f t="shared" si="0"/>
        <v>0</v>
      </c>
    </row>
    <row r="20" spans="1:5" ht="12.75">
      <c r="A20" s="52" t="str">
        <f>+INPUT!B73</f>
        <v>SW Diversions - M&amp;I - Nebraska</v>
      </c>
      <c r="B20" s="52">
        <f>+INPUT!C73</f>
        <v>0</v>
      </c>
      <c r="C20">
        <v>0</v>
      </c>
      <c r="D20">
        <v>0</v>
      </c>
      <c r="E20">
        <f t="shared" si="0"/>
        <v>0</v>
      </c>
    </row>
    <row r="21" spans="1:5" ht="12.75">
      <c r="A21" s="52" t="str">
        <f>+INPUT!B154</f>
        <v>Non-Federal Reservoir Evaporation - Colorado</v>
      </c>
      <c r="B21" s="52">
        <f>+INPUT!C154</f>
        <v>0</v>
      </c>
      <c r="C21">
        <v>0</v>
      </c>
      <c r="D21">
        <v>0</v>
      </c>
      <c r="E21">
        <f t="shared" si="0"/>
        <v>0</v>
      </c>
    </row>
    <row r="22" spans="1:5" ht="12.75">
      <c r="A22" s="52" t="str">
        <f>+INPUT!B155</f>
        <v>Non-Federal Reservoir Evaporation - Kansas</v>
      </c>
      <c r="B22" s="52">
        <f>+INPUT!C155</f>
        <v>40.5</v>
      </c>
      <c r="C22">
        <v>0</v>
      </c>
      <c r="D22">
        <v>40.5</v>
      </c>
      <c r="E22">
        <f t="shared" si="0"/>
        <v>40.5</v>
      </c>
    </row>
    <row r="23" spans="1:5" ht="12.75">
      <c r="A23" s="52" t="str">
        <f>+INPUT!B156</f>
        <v>Non-Federal Reservoir Evaporation - Nebraska</v>
      </c>
      <c r="B23" s="52">
        <f>+INPUT!C156</f>
        <v>0</v>
      </c>
      <c r="C23">
        <v>0</v>
      </c>
      <c r="D23">
        <v>0</v>
      </c>
      <c r="E23">
        <f t="shared" si="0"/>
        <v>0</v>
      </c>
    </row>
    <row r="24" spans="1:5" ht="12.75">
      <c r="A24" s="52" t="str">
        <f>+INPUT!B200</f>
        <v>Arikaree Flood Flow</v>
      </c>
      <c r="B24" s="52">
        <f>+INPUT!C200</f>
        <v>0</v>
      </c>
      <c r="C24">
        <v>0</v>
      </c>
      <c r="D24">
        <v>0</v>
      </c>
      <c r="E24">
        <f t="shared" si="0"/>
        <v>0</v>
      </c>
    </row>
    <row r="25" spans="1:5" ht="12.75">
      <c r="A25" s="6" t="s">
        <v>81</v>
      </c>
      <c r="B25" s="2"/>
      <c r="E25">
        <f t="shared" si="0"/>
        <v>0</v>
      </c>
    </row>
    <row r="26" spans="1:5" ht="15.75">
      <c r="A26" s="10" t="s">
        <v>258</v>
      </c>
      <c r="B26" s="2"/>
      <c r="E26">
        <f t="shared" si="0"/>
        <v>0</v>
      </c>
    </row>
    <row r="27" spans="1:5" ht="12.75">
      <c r="A27" s="8" t="s">
        <v>0</v>
      </c>
      <c r="B27" s="2"/>
      <c r="E27">
        <f t="shared" si="0"/>
        <v>0</v>
      </c>
    </row>
    <row r="28" spans="1:5" ht="12.75">
      <c r="A28" s="102" t="str">
        <f>'NORTH FORK'!A23</f>
        <v>SW CBCU - Irrigation - Non Federal Canals</v>
      </c>
      <c r="B28" s="108">
        <f>B12*CanalCUPercent</f>
        <v>0</v>
      </c>
      <c r="C28">
        <v>0</v>
      </c>
      <c r="D28">
        <v>0</v>
      </c>
      <c r="E28">
        <f t="shared" si="0"/>
        <v>0</v>
      </c>
    </row>
    <row r="29" spans="1:5" ht="12.75">
      <c r="A29" s="102" t="str">
        <f>'NORTH FORK'!A24</f>
        <v>SW CBCU - Irrigation - Small Pumps</v>
      </c>
      <c r="B29" s="108">
        <f>B13*PumperCUPercent</f>
        <v>0</v>
      </c>
      <c r="C29">
        <v>0</v>
      </c>
      <c r="D29">
        <v>0</v>
      </c>
      <c r="E29">
        <f t="shared" si="0"/>
        <v>0</v>
      </c>
    </row>
    <row r="30" spans="1:5" ht="12.75">
      <c r="A30" s="102" t="str">
        <f>'NORTH FORK'!A25</f>
        <v>SW CBCU - M&amp;I</v>
      </c>
      <c r="B30" s="108">
        <f>B14*MI_CUPercent</f>
        <v>0</v>
      </c>
      <c r="C30">
        <v>0</v>
      </c>
      <c r="D30">
        <v>0</v>
      </c>
      <c r="E30">
        <f t="shared" si="0"/>
        <v>0</v>
      </c>
    </row>
    <row r="31" spans="1:5" ht="12.75">
      <c r="A31" s="102" t="str">
        <f>'NORTH FORK'!A26</f>
        <v>Non-Federal Reservoir Evaporation</v>
      </c>
      <c r="B31" s="102">
        <f>B21</f>
        <v>0</v>
      </c>
      <c r="C31">
        <v>0</v>
      </c>
      <c r="D31">
        <v>0</v>
      </c>
      <c r="E31">
        <f t="shared" si="0"/>
        <v>0</v>
      </c>
    </row>
    <row r="32" spans="1:5" ht="12.75">
      <c r="A32" s="102" t="str">
        <f>'NORTH FORK'!A27</f>
        <v>SW CBCU</v>
      </c>
      <c r="B32" s="109">
        <f>B28+B29+B30+B31</f>
        <v>0</v>
      </c>
      <c r="C32">
        <v>0</v>
      </c>
      <c r="D32">
        <v>0</v>
      </c>
      <c r="E32">
        <f t="shared" si="0"/>
        <v>0</v>
      </c>
    </row>
    <row r="33" spans="1:5" ht="12.75">
      <c r="A33" s="102" t="str">
        <f>'NORTH FORK'!A28</f>
        <v>GW CBCU</v>
      </c>
      <c r="B33" s="102">
        <f>B6</f>
        <v>811</v>
      </c>
      <c r="C33">
        <v>242</v>
      </c>
      <c r="D33">
        <v>353</v>
      </c>
      <c r="E33">
        <f t="shared" si="0"/>
        <v>353</v>
      </c>
    </row>
    <row r="34" spans="1:5" ht="12.75">
      <c r="A34" s="102" t="str">
        <f>'NORTH FORK'!A29</f>
        <v>Total CBCU</v>
      </c>
      <c r="B34" s="109">
        <f>(ROUND(SUM(B32:B33),-1))</f>
        <v>810</v>
      </c>
      <c r="C34">
        <v>240</v>
      </c>
      <c r="D34">
        <v>350</v>
      </c>
      <c r="E34">
        <f t="shared" si="0"/>
        <v>350</v>
      </c>
    </row>
    <row r="35" spans="1:5" ht="12.75">
      <c r="A35" s="102" t="s">
        <v>81</v>
      </c>
      <c r="B35" s="102"/>
      <c r="E35">
        <f t="shared" si="0"/>
        <v>0</v>
      </c>
    </row>
    <row r="36" spans="1:5" ht="12.75">
      <c r="A36" s="110" t="s">
        <v>178</v>
      </c>
      <c r="B36" s="111"/>
      <c r="E36">
        <f t="shared" si="0"/>
        <v>0</v>
      </c>
    </row>
    <row r="37" spans="1:5" ht="12.75">
      <c r="A37" s="112" t="str">
        <f aca="true" t="shared" si="1" ref="A37:A43">A28</f>
        <v>SW CBCU - Irrigation - Non Federal Canals</v>
      </c>
      <c r="B37" s="111">
        <f>B15*CanalCUPercent</f>
        <v>0</v>
      </c>
      <c r="C37">
        <v>0</v>
      </c>
      <c r="D37">
        <v>0</v>
      </c>
      <c r="E37">
        <f t="shared" si="0"/>
        <v>0</v>
      </c>
    </row>
    <row r="38" spans="1:5" ht="12.75">
      <c r="A38" s="111" t="str">
        <f t="shared" si="1"/>
        <v>SW CBCU - Irrigation - Small Pumps</v>
      </c>
      <c r="B38" s="111">
        <f>B16*PumperCUPercent</f>
        <v>0</v>
      </c>
      <c r="C38">
        <v>0</v>
      </c>
      <c r="D38">
        <v>0</v>
      </c>
      <c r="E38">
        <f t="shared" si="0"/>
        <v>0</v>
      </c>
    </row>
    <row r="39" spans="1:5" ht="12.75">
      <c r="A39" s="111" t="str">
        <f t="shared" si="1"/>
        <v>SW CBCU - M&amp;I</v>
      </c>
      <c r="B39" s="111">
        <f>B17*MI_CUPercent</f>
        <v>0</v>
      </c>
      <c r="C39">
        <v>0</v>
      </c>
      <c r="D39">
        <v>0</v>
      </c>
      <c r="E39">
        <f t="shared" si="0"/>
        <v>0</v>
      </c>
    </row>
    <row r="40" spans="1:5" ht="12.75">
      <c r="A40" s="111" t="str">
        <f t="shared" si="1"/>
        <v>Non-Federal Reservoir Evaporation</v>
      </c>
      <c r="B40" s="111">
        <f>B22</f>
        <v>40.5</v>
      </c>
      <c r="C40">
        <v>0</v>
      </c>
      <c r="D40">
        <v>40.5</v>
      </c>
      <c r="E40">
        <f t="shared" si="0"/>
        <v>40.5</v>
      </c>
    </row>
    <row r="41" spans="1:5" ht="12.75">
      <c r="A41" s="111" t="str">
        <f t="shared" si="1"/>
        <v>SW CBCU</v>
      </c>
      <c r="B41" s="113">
        <f>B37+B38+B39+B40</f>
        <v>40.5</v>
      </c>
      <c r="C41">
        <v>0</v>
      </c>
      <c r="D41">
        <v>40.5</v>
      </c>
      <c r="E41">
        <f t="shared" si="0"/>
        <v>40.5</v>
      </c>
    </row>
    <row r="42" spans="1:5" ht="12.75">
      <c r="A42" s="111" t="str">
        <f t="shared" si="1"/>
        <v>GW CBCU</v>
      </c>
      <c r="B42" s="111">
        <f>B7</f>
        <v>122</v>
      </c>
      <c r="C42">
        <v>100</v>
      </c>
      <c r="D42">
        <v>116</v>
      </c>
      <c r="E42">
        <f t="shared" si="0"/>
        <v>116</v>
      </c>
    </row>
    <row r="43" spans="1:5" ht="12.75">
      <c r="A43" s="111" t="str">
        <f t="shared" si="1"/>
        <v>Total CBCU</v>
      </c>
      <c r="B43" s="113">
        <f>(ROUND(SUM(B41:B42),-1))</f>
        <v>160</v>
      </c>
      <c r="C43">
        <v>100</v>
      </c>
      <c r="D43">
        <v>160</v>
      </c>
      <c r="E43">
        <f t="shared" si="0"/>
        <v>160</v>
      </c>
    </row>
    <row r="44" spans="1:5" ht="12.75">
      <c r="A44" s="111" t="s">
        <v>81</v>
      </c>
      <c r="B44" s="111"/>
      <c r="E44">
        <f t="shared" si="0"/>
        <v>0</v>
      </c>
    </row>
    <row r="45" spans="1:5" ht="12.75">
      <c r="A45" s="110" t="s">
        <v>1</v>
      </c>
      <c r="B45" s="111"/>
      <c r="E45">
        <f t="shared" si="0"/>
        <v>0</v>
      </c>
    </row>
    <row r="46" spans="1:5" ht="12.75">
      <c r="A46" s="111" t="str">
        <f aca="true" t="shared" si="2" ref="A46:A52">A28</f>
        <v>SW CBCU - Irrigation - Non Federal Canals</v>
      </c>
      <c r="B46" s="113">
        <f>B18*CanalCUPercent</f>
        <v>0</v>
      </c>
      <c r="C46">
        <v>0</v>
      </c>
      <c r="D46">
        <v>0</v>
      </c>
      <c r="E46">
        <f t="shared" si="0"/>
        <v>0</v>
      </c>
    </row>
    <row r="47" spans="1:5" ht="12.75">
      <c r="A47" s="111" t="str">
        <f t="shared" si="2"/>
        <v>SW CBCU - Irrigation - Small Pumps</v>
      </c>
      <c r="B47" s="113">
        <f>B19*PumperCUPercent</f>
        <v>0</v>
      </c>
      <c r="C47">
        <v>0</v>
      </c>
      <c r="D47">
        <v>0</v>
      </c>
      <c r="E47">
        <f t="shared" si="0"/>
        <v>0</v>
      </c>
    </row>
    <row r="48" spans="1:5" ht="12.75">
      <c r="A48" s="111" t="str">
        <f t="shared" si="2"/>
        <v>SW CBCU - M&amp;I</v>
      </c>
      <c r="B48" s="113">
        <f>B20*MI_CUPercent</f>
        <v>0</v>
      </c>
      <c r="C48">
        <v>0</v>
      </c>
      <c r="D48">
        <v>0</v>
      </c>
      <c r="E48">
        <f t="shared" si="0"/>
        <v>0</v>
      </c>
    </row>
    <row r="49" spans="1:5" ht="12.75">
      <c r="A49" s="111" t="str">
        <f t="shared" si="2"/>
        <v>Non-Federal Reservoir Evaporation</v>
      </c>
      <c r="B49" s="111">
        <f>B23</f>
        <v>0</v>
      </c>
      <c r="C49">
        <v>0</v>
      </c>
      <c r="D49">
        <v>0</v>
      </c>
      <c r="E49">
        <f t="shared" si="0"/>
        <v>0</v>
      </c>
    </row>
    <row r="50" spans="1:5" ht="12.75">
      <c r="A50" s="111" t="str">
        <f t="shared" si="2"/>
        <v>SW CBCU</v>
      </c>
      <c r="B50" s="113">
        <f>B46+B47+B48+B49</f>
        <v>0</v>
      </c>
      <c r="C50">
        <v>0</v>
      </c>
      <c r="D50">
        <v>0</v>
      </c>
      <c r="E50">
        <f t="shared" si="0"/>
        <v>0</v>
      </c>
    </row>
    <row r="51" spans="1:5" ht="12.75">
      <c r="A51" s="111" t="str">
        <f t="shared" si="2"/>
        <v>GW CBCU</v>
      </c>
      <c r="B51" s="111">
        <f>B8</f>
        <v>250</v>
      </c>
      <c r="C51">
        <v>508</v>
      </c>
      <c r="D51">
        <v>431</v>
      </c>
      <c r="E51">
        <f t="shared" si="0"/>
        <v>431</v>
      </c>
    </row>
    <row r="52" spans="1:5" ht="12.75">
      <c r="A52" s="111" t="str">
        <f t="shared" si="2"/>
        <v>Total CBCU</v>
      </c>
      <c r="B52" s="113">
        <f>(ROUND(SUM(B50:B51),-1))</f>
        <v>250</v>
      </c>
      <c r="C52">
        <v>510</v>
      </c>
      <c r="D52">
        <v>430</v>
      </c>
      <c r="E52">
        <f t="shared" si="0"/>
        <v>430</v>
      </c>
    </row>
    <row r="53" spans="1:5" ht="12.75">
      <c r="A53" s="114" t="s">
        <v>81</v>
      </c>
      <c r="B53" s="111"/>
      <c r="E53">
        <f t="shared" si="0"/>
        <v>0</v>
      </c>
    </row>
    <row r="54" spans="1:5" ht="12.75">
      <c r="A54" s="115" t="s">
        <v>179</v>
      </c>
      <c r="B54" s="111"/>
      <c r="E54">
        <f t="shared" si="0"/>
        <v>0</v>
      </c>
    </row>
    <row r="55" spans="1:5" ht="12.75">
      <c r="A55" s="114" t="str">
        <f>'NORTH FORK'!A42</f>
        <v>Total SW CBCU</v>
      </c>
      <c r="B55" s="113">
        <f>+B32+B41+B50</f>
        <v>40.5</v>
      </c>
      <c r="C55">
        <v>0</v>
      </c>
      <c r="D55">
        <v>40.5</v>
      </c>
      <c r="E55">
        <f t="shared" si="0"/>
        <v>40.5</v>
      </c>
    </row>
    <row r="56" spans="1:5" ht="12.75">
      <c r="A56" s="114" t="str">
        <f>'NORTH FORK'!A43</f>
        <v>Total GW CBCU</v>
      </c>
      <c r="B56" s="113">
        <f>+B33+B42+B51</f>
        <v>1183</v>
      </c>
      <c r="C56">
        <v>850</v>
      </c>
      <c r="D56">
        <v>900</v>
      </c>
      <c r="E56">
        <f t="shared" si="0"/>
        <v>900</v>
      </c>
    </row>
    <row r="57" spans="1:5" ht="12.75">
      <c r="A57" s="114" t="str">
        <f>'NORTH FORK'!A44</f>
        <v>Total Basin CBCU</v>
      </c>
      <c r="B57" s="113">
        <f>(ROUND(SUM(B55:B56),-1))</f>
        <v>1220</v>
      </c>
      <c r="C57">
        <v>850</v>
      </c>
      <c r="D57">
        <v>940</v>
      </c>
      <c r="E57">
        <f t="shared" si="0"/>
        <v>940</v>
      </c>
    </row>
    <row r="58" spans="1:5" ht="12.75">
      <c r="A58" s="114" t="s">
        <v>81</v>
      </c>
      <c r="B58" s="111"/>
      <c r="E58">
        <f t="shared" si="0"/>
        <v>0</v>
      </c>
    </row>
    <row r="59" spans="1:5" ht="15.75">
      <c r="A59" s="116" t="s">
        <v>10</v>
      </c>
      <c r="B59" s="117"/>
      <c r="E59">
        <f t="shared" si="0"/>
        <v>0</v>
      </c>
    </row>
    <row r="60" spans="1:5" ht="12.75">
      <c r="A60" s="117" t="str">
        <f>A11</f>
        <v>Arikaree River At Haigler</v>
      </c>
      <c r="B60" s="118">
        <f>B11</f>
        <v>1151</v>
      </c>
      <c r="C60">
        <v>1060</v>
      </c>
      <c r="D60">
        <v>341</v>
      </c>
      <c r="E60">
        <f t="shared" si="0"/>
        <v>341</v>
      </c>
    </row>
    <row r="61" spans="1:5" ht="12.75">
      <c r="A61" s="117" t="str">
        <f>'NORTH FORK'!A49</f>
        <v>Colorado CBCU</v>
      </c>
      <c r="B61" s="118">
        <f>+B34</f>
        <v>810</v>
      </c>
      <c r="C61">
        <v>240</v>
      </c>
      <c r="D61">
        <v>350</v>
      </c>
      <c r="E61">
        <f t="shared" si="0"/>
        <v>350</v>
      </c>
    </row>
    <row r="62" spans="1:5" ht="12.75">
      <c r="A62" s="117" t="str">
        <f>'NORTH FORK'!A50</f>
        <v>Kansas CBCU</v>
      </c>
      <c r="B62" s="118">
        <f>+B43</f>
        <v>160</v>
      </c>
      <c r="C62">
        <v>100</v>
      </c>
      <c r="D62">
        <v>160</v>
      </c>
      <c r="E62">
        <f t="shared" si="0"/>
        <v>160</v>
      </c>
    </row>
    <row r="63" spans="1:5" ht="12.75">
      <c r="A63" s="117" t="str">
        <f>'NORTH FORK'!A51</f>
        <v>Nebraska CBCU</v>
      </c>
      <c r="B63" s="118">
        <f>+B52</f>
        <v>250</v>
      </c>
      <c r="C63">
        <v>510</v>
      </c>
      <c r="D63">
        <v>430</v>
      </c>
      <c r="E63">
        <f t="shared" si="0"/>
        <v>430</v>
      </c>
    </row>
    <row r="64" spans="1:5" ht="12.75">
      <c r="A64" s="117" t="str">
        <f>'NORTH FORK'!A52</f>
        <v>Imported Water</v>
      </c>
      <c r="B64" s="117">
        <f>+B5</f>
        <v>0</v>
      </c>
      <c r="C64">
        <v>0</v>
      </c>
      <c r="D64">
        <v>0</v>
      </c>
      <c r="E64">
        <f t="shared" si="0"/>
        <v>0</v>
      </c>
    </row>
    <row r="65" spans="1:5" ht="12.75">
      <c r="A65" s="117" t="str">
        <f>'NORTH FORK'!A53</f>
        <v>Virgin Water Supply</v>
      </c>
      <c r="B65" s="118">
        <f>ROUND(SUM(B60:B63)-B64,-1)</f>
        <v>2370</v>
      </c>
      <c r="C65">
        <v>1910</v>
      </c>
      <c r="D65">
        <v>1280</v>
      </c>
      <c r="E65">
        <f t="shared" si="0"/>
        <v>1280</v>
      </c>
    </row>
    <row r="66" spans="1:5" ht="12.75">
      <c r="A66" s="117" t="str">
        <f>'NORTH FORK'!A54</f>
        <v>Adjustment For Flood Flows</v>
      </c>
      <c r="B66" s="117">
        <f>B24</f>
        <v>0</v>
      </c>
      <c r="C66">
        <v>0</v>
      </c>
      <c r="D66">
        <v>0</v>
      </c>
      <c r="E66">
        <f t="shared" si="0"/>
        <v>0</v>
      </c>
    </row>
    <row r="67" spans="1:5" ht="12.75">
      <c r="A67" s="117" t="str">
        <f>'NORTH FORK'!A55</f>
        <v>Computed Water Supply</v>
      </c>
      <c r="B67" s="118">
        <f>ROUND(+B65-B66,-1)</f>
        <v>2370</v>
      </c>
      <c r="C67">
        <v>1910</v>
      </c>
      <c r="D67">
        <v>1280</v>
      </c>
      <c r="E67">
        <f t="shared" si="0"/>
        <v>1280</v>
      </c>
    </row>
    <row r="68" spans="1:5" ht="12.75">
      <c r="A68" s="119" t="s">
        <v>81</v>
      </c>
      <c r="B68" s="117"/>
      <c r="E68">
        <f t="shared" si="0"/>
        <v>0</v>
      </c>
    </row>
    <row r="69" spans="1:5" ht="15.75">
      <c r="A69" s="116" t="s">
        <v>12</v>
      </c>
      <c r="B69" s="120"/>
      <c r="E69">
        <f t="shared" si="0"/>
        <v>0</v>
      </c>
    </row>
    <row r="70" spans="1:5" ht="12.75">
      <c r="A70" s="111" t="str">
        <f>'NORTH FORK'!A58</f>
        <v>Colorado Percent Of Allocation</v>
      </c>
      <c r="B70" s="121">
        <f>'T2'!D4</f>
        <v>0.785</v>
      </c>
      <c r="C70">
        <v>0.785</v>
      </c>
      <c r="D70">
        <v>0.785</v>
      </c>
      <c r="E70">
        <f t="shared" si="0"/>
        <v>0.785</v>
      </c>
    </row>
    <row r="71" spans="1:5" ht="12.75">
      <c r="A71" s="111" t="str">
        <f>'NORTH FORK'!A59</f>
        <v>Colorado Allocation</v>
      </c>
      <c r="B71" s="113">
        <f>ROUND(+B67*B70,-1)</f>
        <v>1860</v>
      </c>
      <c r="C71">
        <v>1500</v>
      </c>
      <c r="D71">
        <v>1000</v>
      </c>
      <c r="E71">
        <f aca="true" t="shared" si="3" ref="E71:E78">D71</f>
        <v>1000</v>
      </c>
    </row>
    <row r="72" spans="1:5" ht="12.75">
      <c r="A72" s="111" t="str">
        <f>'NORTH FORK'!A60</f>
        <v>Kansas Percent Of Allocation</v>
      </c>
      <c r="B72" s="121">
        <f>'T2'!F4</f>
        <v>0.051</v>
      </c>
      <c r="C72">
        <v>0.051</v>
      </c>
      <c r="D72">
        <v>0.051</v>
      </c>
      <c r="E72">
        <f t="shared" si="3"/>
        <v>0.051</v>
      </c>
    </row>
    <row r="73" spans="1:5" ht="12.75">
      <c r="A73" s="111" t="str">
        <f>'NORTH FORK'!A61</f>
        <v>Kansas Allocation</v>
      </c>
      <c r="B73" s="113">
        <f>ROUND(B67*B72,-1)</f>
        <v>120</v>
      </c>
      <c r="C73">
        <v>100</v>
      </c>
      <c r="D73">
        <v>70</v>
      </c>
      <c r="E73">
        <f t="shared" si="3"/>
        <v>70</v>
      </c>
    </row>
    <row r="74" spans="1:5" ht="12.75">
      <c r="A74" s="111" t="str">
        <f>'NORTH FORK'!A62</f>
        <v>Nebraska Percent Of Allocation</v>
      </c>
      <c r="B74" s="121">
        <f>'T2'!H4</f>
        <v>0.168</v>
      </c>
      <c r="C74">
        <v>0.168</v>
      </c>
      <c r="D74">
        <v>0.168</v>
      </c>
      <c r="E74">
        <f t="shared" si="3"/>
        <v>0.168</v>
      </c>
    </row>
    <row r="75" spans="1:5" ht="12.75">
      <c r="A75" s="111" t="str">
        <f>'NORTH FORK'!A63</f>
        <v>Nebraska Allocation</v>
      </c>
      <c r="B75" s="113">
        <f>ROUND(B67*B74,-1)</f>
        <v>400</v>
      </c>
      <c r="C75">
        <v>320</v>
      </c>
      <c r="D75">
        <v>220</v>
      </c>
      <c r="E75">
        <f t="shared" si="3"/>
        <v>220</v>
      </c>
    </row>
    <row r="76" spans="1:5" ht="12.75">
      <c r="A76" s="111" t="str">
        <f>'NORTH FORK'!A64</f>
        <v>Total Basin Allocation</v>
      </c>
      <c r="B76" s="113">
        <f>+B71+B73+B75</f>
        <v>2380</v>
      </c>
      <c r="C76">
        <v>1920</v>
      </c>
      <c r="D76">
        <v>1290</v>
      </c>
      <c r="E76">
        <f t="shared" si="3"/>
        <v>1290</v>
      </c>
    </row>
    <row r="77" spans="1:5" ht="12.75">
      <c r="A77" s="111" t="str">
        <f>'NORTH FORK'!A65</f>
        <v>Percent Of Supply Not Allocated</v>
      </c>
      <c r="B77" s="121">
        <f>'T2'!J4</f>
        <v>-0.004</v>
      </c>
      <c r="C77">
        <v>-0.004</v>
      </c>
      <c r="D77">
        <v>-0.004</v>
      </c>
      <c r="E77">
        <f t="shared" si="3"/>
        <v>-0.004</v>
      </c>
    </row>
    <row r="78" spans="1:5" ht="12.75">
      <c r="A78" s="111" t="str">
        <f>'NORTH FORK'!A66</f>
        <v>Quantity Of Unallocated Supply</v>
      </c>
      <c r="B78" s="113">
        <f>+B67-B71-B73-B75</f>
        <v>-10</v>
      </c>
      <c r="C78">
        <v>-10</v>
      </c>
      <c r="D78">
        <v>-10</v>
      </c>
      <c r="E78">
        <f t="shared" si="3"/>
        <v>-10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2" max="2"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G71"/>
  <sheetViews>
    <sheetView workbookViewId="0" topLeftCell="A1">
      <selection activeCell="A1" sqref="A1"/>
    </sheetView>
  </sheetViews>
  <sheetFormatPr defaultColWidth="9.140625" defaultRowHeight="12.75"/>
  <cols>
    <col min="1" max="1" width="69.8515625" style="0" customWidth="1"/>
    <col min="2" max="2" width="8.140625" style="0" customWidth="1"/>
  </cols>
  <sheetData>
    <row r="1" spans="1:7" ht="15.75">
      <c r="A1" s="59" t="s">
        <v>228</v>
      </c>
      <c r="B1">
        <f>INPUT!C1</f>
        <v>2005</v>
      </c>
      <c r="C1">
        <v>2003</v>
      </c>
      <c r="D1">
        <v>2004</v>
      </c>
      <c r="E1" s="309">
        <v>2005</v>
      </c>
      <c r="F1" s="309">
        <v>2006</v>
      </c>
      <c r="G1" s="309">
        <v>2007</v>
      </c>
    </row>
    <row r="2" ht="12.75"/>
    <row r="3" ht="15.75">
      <c r="A3" s="10" t="s">
        <v>174</v>
      </c>
    </row>
    <row r="4" ht="12.75">
      <c r="A4" s="8" t="s">
        <v>175</v>
      </c>
    </row>
    <row r="5" spans="1:5" ht="12.75">
      <c r="A5" s="52" t="str">
        <f>INPUT!B48</f>
        <v>Imported Water Nebraska</v>
      </c>
      <c r="B5" s="52">
        <f>+INPUT!C48</f>
        <v>0</v>
      </c>
      <c r="C5">
        <v>0</v>
      </c>
      <c r="D5">
        <v>0</v>
      </c>
      <c r="E5">
        <f>D5</f>
        <v>0</v>
      </c>
    </row>
    <row r="6" spans="1:5" ht="12.75">
      <c r="A6" s="52" t="str">
        <f>+INPUT!B10</f>
        <v>GW CBCU Colorado</v>
      </c>
      <c r="B6" s="52">
        <f>+INPUT!C10</f>
        <v>306</v>
      </c>
      <c r="C6">
        <v>265</v>
      </c>
      <c r="D6">
        <v>290</v>
      </c>
      <c r="E6">
        <f>D6</f>
        <v>290</v>
      </c>
    </row>
    <row r="7" spans="1:5" ht="12.75">
      <c r="A7" s="52" t="str">
        <f>+INPUT!B11</f>
        <v>GW CBCU Kansas</v>
      </c>
      <c r="B7" s="52">
        <f>+INPUT!C11</f>
        <v>0</v>
      </c>
      <c r="C7">
        <v>0</v>
      </c>
      <c r="D7">
        <v>0</v>
      </c>
      <c r="E7">
        <f aca="true" t="shared" si="0" ref="E7:E69">D7</f>
        <v>0</v>
      </c>
    </row>
    <row r="8" spans="1:5" ht="12" customHeight="1">
      <c r="A8" s="52" t="str">
        <f>+INPUT!B12</f>
        <v>GW CBCU Nebraska</v>
      </c>
      <c r="B8" s="52">
        <f>+INPUT!C12</f>
        <v>3357</v>
      </c>
      <c r="C8">
        <v>3338</v>
      </c>
      <c r="D8">
        <v>3333</v>
      </c>
      <c r="E8">
        <f t="shared" si="0"/>
        <v>3333</v>
      </c>
    </row>
    <row r="9" spans="1:5" ht="12.75">
      <c r="A9" s="2" t="s">
        <v>81</v>
      </c>
      <c r="B9" s="2"/>
      <c r="E9">
        <f t="shared" si="0"/>
        <v>0</v>
      </c>
    </row>
    <row r="10" spans="1:5" ht="12.75">
      <c r="A10" s="5" t="s">
        <v>177</v>
      </c>
      <c r="B10" s="2"/>
      <c r="E10">
        <f t="shared" si="0"/>
        <v>0</v>
      </c>
    </row>
    <row r="11" spans="1:5" ht="12.75">
      <c r="A11" s="52" t="str">
        <f>+INPUT!B185</f>
        <v>Buffalo Creek Near Haigler</v>
      </c>
      <c r="B11" s="58">
        <f>+INPUT!C185</f>
        <v>2227</v>
      </c>
      <c r="C11">
        <v>2090</v>
      </c>
      <c r="D11">
        <v>2276</v>
      </c>
      <c r="E11">
        <f t="shared" si="0"/>
        <v>2276</v>
      </c>
    </row>
    <row r="12" spans="1:5" ht="12.75">
      <c r="A12" s="52" t="str">
        <f>INPUT!B74</f>
        <v>SW Diversions - Irrigation -Non-Federal Canals- Colorado</v>
      </c>
      <c r="B12" s="52">
        <f>INPUT!C74</f>
        <v>0</v>
      </c>
      <c r="C12">
        <v>0</v>
      </c>
      <c r="D12">
        <v>0</v>
      </c>
      <c r="E12">
        <f t="shared" si="0"/>
        <v>0</v>
      </c>
    </row>
    <row r="13" spans="1:5" ht="12.75">
      <c r="A13" s="52" t="str">
        <f>INPUT!B75</f>
        <v>SW Diversions - Irrigation - Small Pumps - Colorado</v>
      </c>
      <c r="B13" s="52">
        <f>INPUT!C75</f>
        <v>0</v>
      </c>
      <c r="C13">
        <v>0</v>
      </c>
      <c r="D13">
        <v>0</v>
      </c>
      <c r="E13">
        <f t="shared" si="0"/>
        <v>0</v>
      </c>
    </row>
    <row r="14" spans="1:5" ht="12.75">
      <c r="A14" s="52" t="str">
        <f>INPUT!B76</f>
        <v>SW Diversions - M&amp;I - Colorado</v>
      </c>
      <c r="B14" s="52">
        <f>INPUT!C76</f>
        <v>0</v>
      </c>
      <c r="C14">
        <v>0</v>
      </c>
      <c r="D14">
        <v>0</v>
      </c>
      <c r="E14">
        <f t="shared" si="0"/>
        <v>0</v>
      </c>
    </row>
    <row r="15" spans="1:5" ht="12.75">
      <c r="A15" s="107" t="str">
        <f>+INPUT!B77</f>
        <v>SW Diversions - Irrigation - Non-Federal Canals - Nebraska</v>
      </c>
      <c r="B15" s="107">
        <f>+INPUT!C77</f>
        <v>171.45</v>
      </c>
      <c r="C15">
        <v>587</v>
      </c>
      <c r="D15">
        <v>334</v>
      </c>
      <c r="E15">
        <f t="shared" si="0"/>
        <v>334</v>
      </c>
    </row>
    <row r="16" spans="1:5" ht="12.75">
      <c r="A16" s="107" t="str">
        <f>+INPUT!B78</f>
        <v>SW Diversions - Irrigation - Small Pumps - Nebraska</v>
      </c>
      <c r="B16" s="107">
        <f>+INPUT!C78</f>
        <v>33.67</v>
      </c>
      <c r="C16">
        <v>70.2</v>
      </c>
      <c r="D16">
        <v>55.7</v>
      </c>
      <c r="E16">
        <f t="shared" si="0"/>
        <v>55.7</v>
      </c>
    </row>
    <row r="17" spans="1:5" ht="12.75">
      <c r="A17" s="107" t="str">
        <f>+INPUT!B79</f>
        <v>SW Diversions - M&amp;I - Nebraska</v>
      </c>
      <c r="B17" s="107">
        <f>+INPUT!C79</f>
        <v>0</v>
      </c>
      <c r="C17">
        <v>0</v>
      </c>
      <c r="D17">
        <v>0</v>
      </c>
      <c r="E17">
        <f t="shared" si="0"/>
        <v>0</v>
      </c>
    </row>
    <row r="18" spans="1:5" ht="12.75">
      <c r="A18" s="107" t="str">
        <f>+INPUT!B157</f>
        <v>Non-Federal Reservoir Evaporation - Colorado</v>
      </c>
      <c r="B18" s="107">
        <f>+INPUT!C157</f>
        <v>0</v>
      </c>
      <c r="C18">
        <v>0</v>
      </c>
      <c r="D18">
        <v>0</v>
      </c>
      <c r="E18">
        <f t="shared" si="0"/>
        <v>0</v>
      </c>
    </row>
    <row r="19" spans="1:5" ht="12.75">
      <c r="A19" s="107" t="str">
        <f>+INPUT!B158</f>
        <v>Non-Federal Reservoir Evaporation - Nebraska</v>
      </c>
      <c r="B19" s="107">
        <f>+INPUT!C158</f>
        <v>21</v>
      </c>
      <c r="C19">
        <v>0</v>
      </c>
      <c r="D19">
        <v>21.7</v>
      </c>
      <c r="E19">
        <f t="shared" si="0"/>
        <v>21.7</v>
      </c>
    </row>
    <row r="20" spans="1:5" ht="12.75">
      <c r="A20" s="107" t="str">
        <f>+INPUT!B201</f>
        <v>Buffalo Flood Flow</v>
      </c>
      <c r="B20" s="107">
        <f>+INPUT!C201</f>
        <v>0</v>
      </c>
      <c r="C20">
        <v>0</v>
      </c>
      <c r="D20">
        <v>0</v>
      </c>
      <c r="E20">
        <f t="shared" si="0"/>
        <v>0</v>
      </c>
    </row>
    <row r="21" spans="1:5" ht="12.75">
      <c r="A21" s="122" t="s">
        <v>81</v>
      </c>
      <c r="B21" s="16"/>
      <c r="E21">
        <f t="shared" si="0"/>
        <v>0</v>
      </c>
    </row>
    <row r="22" spans="1:5" ht="15.75">
      <c r="A22" s="10" t="s">
        <v>258</v>
      </c>
      <c r="B22" s="16"/>
      <c r="E22">
        <f t="shared" si="0"/>
        <v>0</v>
      </c>
    </row>
    <row r="23" spans="1:5" ht="12.75">
      <c r="A23" s="8" t="s">
        <v>0</v>
      </c>
      <c r="B23" s="16"/>
      <c r="E23">
        <f t="shared" si="0"/>
        <v>0</v>
      </c>
    </row>
    <row r="24" spans="1:5" ht="12.75">
      <c r="A24" s="12" t="str">
        <f aca="true" t="shared" si="1" ref="A24:B26">A12</f>
        <v>SW Diversions - Irrigation -Non-Federal Canals- Colorado</v>
      </c>
      <c r="B24" s="157">
        <f t="shared" si="1"/>
        <v>0</v>
      </c>
      <c r="C24">
        <v>0</v>
      </c>
      <c r="D24">
        <v>0</v>
      </c>
      <c r="E24">
        <f t="shared" si="0"/>
        <v>0</v>
      </c>
    </row>
    <row r="25" spans="1:5" ht="12.75">
      <c r="A25" s="12" t="str">
        <f t="shared" si="1"/>
        <v>SW Diversions - Irrigation - Small Pumps - Colorado</v>
      </c>
      <c r="B25" s="157">
        <f t="shared" si="1"/>
        <v>0</v>
      </c>
      <c r="C25">
        <v>0</v>
      </c>
      <c r="D25">
        <v>0</v>
      </c>
      <c r="E25">
        <f t="shared" si="0"/>
        <v>0</v>
      </c>
    </row>
    <row r="26" spans="1:5" ht="12.75">
      <c r="A26" s="12" t="str">
        <f t="shared" si="1"/>
        <v>SW Diversions - M&amp;I - Colorado</v>
      </c>
      <c r="B26" s="157">
        <f t="shared" si="1"/>
        <v>0</v>
      </c>
      <c r="C26">
        <v>0</v>
      </c>
      <c r="D26">
        <v>0</v>
      </c>
      <c r="E26">
        <f t="shared" si="0"/>
        <v>0</v>
      </c>
    </row>
    <row r="27" spans="1:5" ht="12.75">
      <c r="A27" s="12" t="str">
        <f>A18</f>
        <v>Non-Federal Reservoir Evaporation - Colorado</v>
      </c>
      <c r="B27" s="157">
        <f>B18</f>
        <v>0</v>
      </c>
      <c r="C27">
        <v>0</v>
      </c>
      <c r="D27">
        <v>0</v>
      </c>
      <c r="E27">
        <f t="shared" si="0"/>
        <v>0</v>
      </c>
    </row>
    <row r="28" spans="1:5" ht="12.75">
      <c r="A28" s="16" t="s">
        <v>235</v>
      </c>
      <c r="B28" s="123">
        <f>B24+B25+B26+B27</f>
        <v>0</v>
      </c>
      <c r="C28">
        <v>0</v>
      </c>
      <c r="D28">
        <v>0</v>
      </c>
      <c r="E28">
        <f t="shared" si="0"/>
        <v>0</v>
      </c>
    </row>
    <row r="29" spans="1:5" ht="12.75">
      <c r="A29" s="16" t="str">
        <f>'NORTH FORK'!A28</f>
        <v>GW CBCU</v>
      </c>
      <c r="B29" s="16">
        <f>+B6</f>
        <v>306</v>
      </c>
      <c r="C29">
        <v>265</v>
      </c>
      <c r="D29">
        <v>290</v>
      </c>
      <c r="E29">
        <f t="shared" si="0"/>
        <v>290</v>
      </c>
    </row>
    <row r="30" spans="1:5" ht="12.75">
      <c r="A30" s="16" t="str">
        <f>'NORTH FORK'!A29</f>
        <v>Total CBCU</v>
      </c>
      <c r="B30" s="73">
        <f>(ROUND(SUM(B28:B29),-1))</f>
        <v>310</v>
      </c>
      <c r="C30">
        <v>270</v>
      </c>
      <c r="D30">
        <v>290</v>
      </c>
      <c r="E30">
        <f t="shared" si="0"/>
        <v>290</v>
      </c>
    </row>
    <row r="31" spans="2:5" ht="12.75">
      <c r="B31" s="16"/>
      <c r="E31">
        <f t="shared" si="0"/>
        <v>0</v>
      </c>
    </row>
    <row r="32" spans="1:5" ht="12.75">
      <c r="A32" s="8" t="s">
        <v>178</v>
      </c>
      <c r="B32" s="16"/>
      <c r="E32">
        <f t="shared" si="0"/>
        <v>0</v>
      </c>
    </row>
    <row r="33" spans="1:5" ht="12.75">
      <c r="A33" s="16" t="str">
        <f>'NORTH FORK'!A28</f>
        <v>GW CBCU</v>
      </c>
      <c r="B33" s="16">
        <f>+B7</f>
        <v>0</v>
      </c>
      <c r="C33">
        <v>0</v>
      </c>
      <c r="D33">
        <v>0</v>
      </c>
      <c r="E33">
        <f t="shared" si="0"/>
        <v>0</v>
      </c>
    </row>
    <row r="34" spans="1:5" ht="12.75">
      <c r="A34" s="16" t="str">
        <f>'NORTH FORK'!A29</f>
        <v>Total CBCU</v>
      </c>
      <c r="B34" s="73">
        <f>(ROUND(SUM(B33:B33),-1))</f>
        <v>0</v>
      </c>
      <c r="C34">
        <v>0</v>
      </c>
      <c r="D34">
        <v>0</v>
      </c>
      <c r="E34">
        <f t="shared" si="0"/>
        <v>0</v>
      </c>
    </row>
    <row r="35" spans="1:5" ht="12.75">
      <c r="A35" s="16" t="s">
        <v>81</v>
      </c>
      <c r="B35" s="16"/>
      <c r="E35">
        <f t="shared" si="0"/>
        <v>0</v>
      </c>
    </row>
    <row r="36" spans="1:5" ht="12.75">
      <c r="A36" s="8" t="s">
        <v>1</v>
      </c>
      <c r="B36" s="16"/>
      <c r="E36">
        <f t="shared" si="0"/>
        <v>0</v>
      </c>
    </row>
    <row r="37" spans="1:5" ht="12.75">
      <c r="A37" s="12" t="str">
        <f>'NORTH FORK'!A23</f>
        <v>SW CBCU - Irrigation - Non Federal Canals</v>
      </c>
      <c r="B37" s="16">
        <f>B15*CanalCUPercent</f>
        <v>102.86999999999999</v>
      </c>
      <c r="C37">
        <v>352.2</v>
      </c>
      <c r="D37">
        <v>200.4</v>
      </c>
      <c r="E37">
        <f t="shared" si="0"/>
        <v>200.4</v>
      </c>
    </row>
    <row r="38" spans="1:5" ht="12.75">
      <c r="A38" s="12" t="str">
        <f>'NORTH FORK'!A24</f>
        <v>SW CBCU - Irrigation - Small Pumps</v>
      </c>
      <c r="B38" s="73">
        <f>B16*PumperCUPercent</f>
        <v>25.2525</v>
      </c>
      <c r="C38">
        <v>52.65</v>
      </c>
      <c r="D38">
        <v>41.775</v>
      </c>
      <c r="E38">
        <f t="shared" si="0"/>
        <v>41.775</v>
      </c>
    </row>
    <row r="39" spans="1:5" ht="12.75">
      <c r="A39" s="12" t="str">
        <f>'NORTH FORK'!A25</f>
        <v>SW CBCU - M&amp;I</v>
      </c>
      <c r="B39" s="16">
        <f>B17*MI_CUPercent</f>
        <v>0</v>
      </c>
      <c r="C39">
        <v>0</v>
      </c>
      <c r="D39">
        <v>0</v>
      </c>
      <c r="E39">
        <f t="shared" si="0"/>
        <v>0</v>
      </c>
    </row>
    <row r="40" spans="1:5" ht="12.75">
      <c r="A40" s="71" t="str">
        <f>'NORTH FORK'!A26</f>
        <v>Non-Federal Reservoir Evaporation</v>
      </c>
      <c r="B40" s="98">
        <f>B19</f>
        <v>21</v>
      </c>
      <c r="C40">
        <v>0</v>
      </c>
      <c r="D40">
        <v>21.7</v>
      </c>
      <c r="E40">
        <f t="shared" si="0"/>
        <v>21.7</v>
      </c>
    </row>
    <row r="41" spans="1:5" ht="12.75">
      <c r="A41" s="98" t="str">
        <f>'NORTH FORK'!A27</f>
        <v>SW CBCU</v>
      </c>
      <c r="B41" s="123">
        <f>B37+B38+B39+B40</f>
        <v>149.1225</v>
      </c>
      <c r="C41">
        <v>404.85</v>
      </c>
      <c r="D41">
        <v>263.875</v>
      </c>
      <c r="E41">
        <f t="shared" si="0"/>
        <v>263.875</v>
      </c>
    </row>
    <row r="42" spans="1:5" ht="12.75">
      <c r="A42" s="16" t="str">
        <f>'NORTH FORK'!A28</f>
        <v>GW CBCU</v>
      </c>
      <c r="B42" s="16">
        <f>+B8</f>
        <v>3357</v>
      </c>
      <c r="C42">
        <v>3338</v>
      </c>
      <c r="D42">
        <v>3333</v>
      </c>
      <c r="E42">
        <f t="shared" si="0"/>
        <v>3333</v>
      </c>
    </row>
    <row r="43" spans="1:5" ht="12.75">
      <c r="A43" s="16" t="str">
        <f>'NORTH FORK'!A29</f>
        <v>Total CBCU</v>
      </c>
      <c r="B43" s="73">
        <f>(ROUND(SUM(B41:B42),-1))</f>
        <v>3510</v>
      </c>
      <c r="C43">
        <v>3740</v>
      </c>
      <c r="D43">
        <v>3600</v>
      </c>
      <c r="E43">
        <f t="shared" si="0"/>
        <v>3600</v>
      </c>
    </row>
    <row r="44" spans="1:5" ht="12.75">
      <c r="A44" s="98" t="s">
        <v>81</v>
      </c>
      <c r="B44" s="16"/>
      <c r="E44">
        <f t="shared" si="0"/>
        <v>0</v>
      </c>
    </row>
    <row r="45" spans="1:5" ht="12.75">
      <c r="A45" s="5" t="s">
        <v>179</v>
      </c>
      <c r="B45" s="16"/>
      <c r="E45">
        <f t="shared" si="0"/>
        <v>0</v>
      </c>
    </row>
    <row r="46" spans="1:5" ht="12.75">
      <c r="A46" s="98" t="str">
        <f>'NORTH FORK'!A42</f>
        <v>Total SW CBCU</v>
      </c>
      <c r="B46" s="73">
        <f>+B41+B28</f>
        <v>149.1225</v>
      </c>
      <c r="C46">
        <v>404.85</v>
      </c>
      <c r="D46">
        <v>263.875</v>
      </c>
      <c r="E46">
        <f t="shared" si="0"/>
        <v>263.875</v>
      </c>
    </row>
    <row r="47" spans="1:5" ht="12.75">
      <c r="A47" s="98" t="str">
        <f>'NORTH FORK'!A43</f>
        <v>Total GW CBCU</v>
      </c>
      <c r="B47" s="73">
        <f>+B29+B33+B42</f>
        <v>3663</v>
      </c>
      <c r="C47">
        <v>3603</v>
      </c>
      <c r="D47">
        <v>3623</v>
      </c>
      <c r="E47">
        <f t="shared" si="0"/>
        <v>3623</v>
      </c>
    </row>
    <row r="48" spans="1:5" ht="12.75">
      <c r="A48" s="98" t="str">
        <f>'NORTH FORK'!A44</f>
        <v>Total Basin CBCU</v>
      </c>
      <c r="B48" s="73">
        <f>(ROUND(SUM(B46:B47),-1))</f>
        <v>3810</v>
      </c>
      <c r="C48">
        <v>4010</v>
      </c>
      <c r="D48">
        <v>3890</v>
      </c>
      <c r="E48">
        <f t="shared" si="0"/>
        <v>3890</v>
      </c>
    </row>
    <row r="49" spans="1:5" ht="12.75">
      <c r="A49" s="98" t="s">
        <v>81</v>
      </c>
      <c r="B49" s="16"/>
      <c r="E49">
        <f t="shared" si="0"/>
        <v>0</v>
      </c>
    </row>
    <row r="50" spans="1:5" ht="15.75">
      <c r="A50" s="11" t="s">
        <v>10</v>
      </c>
      <c r="B50" s="16"/>
      <c r="E50">
        <f t="shared" si="0"/>
        <v>0</v>
      </c>
    </row>
    <row r="51" spans="1:5" ht="12.75">
      <c r="A51" s="124" t="str">
        <f>A11</f>
        <v>Buffalo Creek Near Haigler</v>
      </c>
      <c r="B51" s="73">
        <f>B11</f>
        <v>2227</v>
      </c>
      <c r="C51">
        <v>2090</v>
      </c>
      <c r="D51">
        <v>2276</v>
      </c>
      <c r="E51">
        <f t="shared" si="0"/>
        <v>2276</v>
      </c>
    </row>
    <row r="52" spans="1:5" ht="12.75">
      <c r="A52" s="16" t="str">
        <f>'NORTH FORK'!A49</f>
        <v>Colorado CBCU</v>
      </c>
      <c r="B52" s="73">
        <f>+B30</f>
        <v>310</v>
      </c>
      <c r="C52">
        <v>270</v>
      </c>
      <c r="D52">
        <v>290</v>
      </c>
      <c r="E52">
        <f t="shared" si="0"/>
        <v>290</v>
      </c>
    </row>
    <row r="53" spans="1:5" ht="12.75">
      <c r="A53" s="2" t="str">
        <f>'NORTH FORK'!A50</f>
        <v>Kansas CBCU</v>
      </c>
      <c r="B53" s="29">
        <f>+B34</f>
        <v>0</v>
      </c>
      <c r="C53">
        <v>0</v>
      </c>
      <c r="D53">
        <v>0</v>
      </c>
      <c r="E53">
        <f t="shared" si="0"/>
        <v>0</v>
      </c>
    </row>
    <row r="54" spans="1:5" ht="12.75">
      <c r="A54" s="2" t="str">
        <f>'NORTH FORK'!A51</f>
        <v>Nebraska CBCU</v>
      </c>
      <c r="B54" s="29">
        <f>+B43</f>
        <v>3510</v>
      </c>
      <c r="C54">
        <v>3740</v>
      </c>
      <c r="D54">
        <v>3600</v>
      </c>
      <c r="E54">
        <f t="shared" si="0"/>
        <v>3600</v>
      </c>
    </row>
    <row r="55" spans="1:5" ht="12.75">
      <c r="A55" s="2" t="str">
        <f>'NORTH FORK'!A52</f>
        <v>Imported Water</v>
      </c>
      <c r="B55" s="16">
        <f>+B5</f>
        <v>0</v>
      </c>
      <c r="C55">
        <v>0</v>
      </c>
      <c r="D55">
        <v>0</v>
      </c>
      <c r="E55">
        <f t="shared" si="0"/>
        <v>0</v>
      </c>
    </row>
    <row r="56" spans="1:5" ht="12.75">
      <c r="A56" s="2" t="str">
        <f>'NORTH FORK'!A53</f>
        <v>Virgin Water Supply</v>
      </c>
      <c r="B56" s="4">
        <f>ROUND(SUM(B51:B54)-B55,-1)</f>
        <v>6050</v>
      </c>
      <c r="C56">
        <v>6100</v>
      </c>
      <c r="D56">
        <v>6170</v>
      </c>
      <c r="E56">
        <f t="shared" si="0"/>
        <v>6170</v>
      </c>
    </row>
    <row r="57" spans="1:5" ht="12.75">
      <c r="A57" s="2" t="str">
        <f>'NORTH FORK'!A54</f>
        <v>Adjustment For Flood Flows</v>
      </c>
      <c r="B57" s="2">
        <f>B20</f>
        <v>0</v>
      </c>
      <c r="C57">
        <v>0</v>
      </c>
      <c r="D57">
        <v>0</v>
      </c>
      <c r="E57">
        <f t="shared" si="0"/>
        <v>0</v>
      </c>
    </row>
    <row r="58" spans="1:5" ht="12.75">
      <c r="A58" s="2" t="str">
        <f>'NORTH FORK'!A55</f>
        <v>Computed Water Supply</v>
      </c>
      <c r="B58" s="4">
        <f>ROUND(+B56-B57,-1)</f>
        <v>6050</v>
      </c>
      <c r="C58">
        <v>6100</v>
      </c>
      <c r="D58">
        <v>6170</v>
      </c>
      <c r="E58">
        <f t="shared" si="0"/>
        <v>6170</v>
      </c>
    </row>
    <row r="59" spans="1:5" ht="12.75">
      <c r="A59" s="9" t="s">
        <v>81</v>
      </c>
      <c r="B59" s="2"/>
      <c r="E59">
        <f t="shared" si="0"/>
        <v>0</v>
      </c>
    </row>
    <row r="60" spans="1:5" ht="15.75">
      <c r="A60" s="11" t="s">
        <v>12</v>
      </c>
      <c r="B60" s="13"/>
      <c r="E60">
        <f t="shared" si="0"/>
        <v>0</v>
      </c>
    </row>
    <row r="61" spans="1:5" ht="12.75">
      <c r="A61" s="9" t="str">
        <f>'NORTH FORK'!A58</f>
        <v>Colorado Percent Of Allocation</v>
      </c>
      <c r="B61" s="72">
        <f>'T2'!D5</f>
        <v>0</v>
      </c>
      <c r="C61">
        <v>0</v>
      </c>
      <c r="D61">
        <v>0</v>
      </c>
      <c r="E61">
        <f t="shared" si="0"/>
        <v>0</v>
      </c>
    </row>
    <row r="62" spans="1:5" ht="12.75">
      <c r="A62" s="9" t="str">
        <f>'NORTH FORK'!A59</f>
        <v>Colorado Allocation</v>
      </c>
      <c r="B62" s="29">
        <f>ROUND(+B58*B61,-1)</f>
        <v>0</v>
      </c>
      <c r="C62">
        <v>0</v>
      </c>
      <c r="D62">
        <v>0</v>
      </c>
      <c r="E62">
        <f t="shared" si="0"/>
        <v>0</v>
      </c>
    </row>
    <row r="63" spans="1:5" ht="12.75">
      <c r="A63" s="9" t="str">
        <f>'NORTH FORK'!A60</f>
        <v>Kansas Percent Of Allocation</v>
      </c>
      <c r="B63" s="72">
        <f>'T2'!F5</f>
        <v>0</v>
      </c>
      <c r="C63">
        <v>0</v>
      </c>
      <c r="D63">
        <v>0</v>
      </c>
      <c r="E63">
        <f t="shared" si="0"/>
        <v>0</v>
      </c>
    </row>
    <row r="64" spans="1:5" ht="12.75">
      <c r="A64" s="9" t="str">
        <f>'NORTH FORK'!A61</f>
        <v>Kansas Allocation</v>
      </c>
      <c r="B64" s="29">
        <f>ROUND(B58*B63,-1)</f>
        <v>0</v>
      </c>
      <c r="C64">
        <v>0</v>
      </c>
      <c r="D64">
        <v>0</v>
      </c>
      <c r="E64">
        <f t="shared" si="0"/>
        <v>0</v>
      </c>
    </row>
    <row r="65" spans="1:5" ht="12.75">
      <c r="A65" s="9" t="str">
        <f>'NORTH FORK'!A62</f>
        <v>Nebraska Percent Of Allocation</v>
      </c>
      <c r="B65" s="72">
        <f>'T2'!H5</f>
        <v>0.33</v>
      </c>
      <c r="C65">
        <v>0.33</v>
      </c>
      <c r="D65">
        <v>0.33</v>
      </c>
      <c r="E65">
        <f t="shared" si="0"/>
        <v>0.33</v>
      </c>
    </row>
    <row r="66" spans="1:5" ht="12.75">
      <c r="A66" s="9" t="str">
        <f>'NORTH FORK'!A63</f>
        <v>Nebraska Allocation</v>
      </c>
      <c r="B66" s="29">
        <f>ROUND(B58*B65,-1)</f>
        <v>2000</v>
      </c>
      <c r="C66">
        <v>2010</v>
      </c>
      <c r="D66">
        <v>2040</v>
      </c>
      <c r="E66">
        <f t="shared" si="0"/>
        <v>2040</v>
      </c>
    </row>
    <row r="67" spans="1:5" ht="12.75">
      <c r="A67" s="9" t="str">
        <f>'NORTH FORK'!A64</f>
        <v>Total Basin Allocation</v>
      </c>
      <c r="B67" s="29">
        <f>+B62+B64+B66</f>
        <v>2000</v>
      </c>
      <c r="C67">
        <v>2010</v>
      </c>
      <c r="D67">
        <v>2040</v>
      </c>
      <c r="E67">
        <f t="shared" si="0"/>
        <v>2040</v>
      </c>
    </row>
    <row r="68" spans="1:5" ht="12.75">
      <c r="A68" s="9" t="str">
        <f>'NORTH FORK'!A65</f>
        <v>Percent Of Supply Not Allocated</v>
      </c>
      <c r="B68" s="72">
        <f>'T2'!J5</f>
        <v>0.67</v>
      </c>
      <c r="C68">
        <v>0.67</v>
      </c>
      <c r="D68">
        <v>0.67</v>
      </c>
      <c r="E68">
        <f t="shared" si="0"/>
        <v>0.67</v>
      </c>
    </row>
    <row r="69" spans="1:5" ht="12.75">
      <c r="A69" s="9" t="str">
        <f>'NORTH FORK'!A66</f>
        <v>Quantity Of Unallocated Supply</v>
      </c>
      <c r="B69" s="29">
        <f>+B58-B62-B64-B66</f>
        <v>4050</v>
      </c>
      <c r="C69">
        <v>4090</v>
      </c>
      <c r="D69">
        <v>4130</v>
      </c>
      <c r="E69">
        <f t="shared" si="0"/>
        <v>4130</v>
      </c>
    </row>
    <row r="70" ht="12.75">
      <c r="A70" s="17"/>
    </row>
    <row r="71" ht="12.75">
      <c r="A71" s="17"/>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G60"/>
  <sheetViews>
    <sheetView workbookViewId="0" topLeftCell="A1">
      <selection activeCell="A1" sqref="A1"/>
    </sheetView>
  </sheetViews>
  <sheetFormatPr defaultColWidth="9.140625" defaultRowHeight="12.75"/>
  <cols>
    <col min="1" max="1" width="69.7109375" style="0" customWidth="1"/>
    <col min="2" max="2" width="9.421875" style="0" customWidth="1"/>
  </cols>
  <sheetData>
    <row r="1" spans="1:7" ht="15.75">
      <c r="A1" s="59" t="s">
        <v>227</v>
      </c>
      <c r="B1">
        <f>INPUT!C1</f>
        <v>2005</v>
      </c>
      <c r="C1">
        <v>2003</v>
      </c>
      <c r="D1">
        <v>2004</v>
      </c>
      <c r="E1" s="309">
        <v>2005</v>
      </c>
      <c r="F1" s="309">
        <v>2006</v>
      </c>
      <c r="G1" s="309">
        <v>2007</v>
      </c>
    </row>
    <row r="2" ht="12.75"/>
    <row r="3" ht="15.75">
      <c r="A3" s="10" t="s">
        <v>174</v>
      </c>
    </row>
    <row r="4" ht="12.75">
      <c r="A4" s="8" t="s">
        <v>175</v>
      </c>
    </row>
    <row r="5" spans="1:5" ht="12.75">
      <c r="A5" s="52" t="str">
        <f>+INPUT!B49</f>
        <v>Imported Water Nebraska</v>
      </c>
      <c r="B5" s="52">
        <f>+INPUT!C49</f>
        <v>0</v>
      </c>
      <c r="C5">
        <v>0</v>
      </c>
      <c r="D5">
        <v>0</v>
      </c>
      <c r="E5">
        <f>D5</f>
        <v>0</v>
      </c>
    </row>
    <row r="6" spans="1:5" ht="12.75">
      <c r="A6" s="52" t="str">
        <f>+INPUT!B13</f>
        <v>GW CBCU Colorado</v>
      </c>
      <c r="B6" s="52">
        <f>+INPUT!C13</f>
        <v>61</v>
      </c>
      <c r="C6">
        <v>59</v>
      </c>
      <c r="D6">
        <v>58</v>
      </c>
      <c r="E6">
        <f>D6</f>
        <v>58</v>
      </c>
    </row>
    <row r="7" spans="1:5" ht="12.75">
      <c r="A7" s="52" t="str">
        <f>+INPUT!B14</f>
        <v>GW CBCU Kansas</v>
      </c>
      <c r="B7" s="52">
        <f>+INPUT!C14</f>
        <v>0</v>
      </c>
      <c r="C7">
        <v>0</v>
      </c>
      <c r="D7">
        <v>0</v>
      </c>
      <c r="E7">
        <f aca="true" t="shared" si="0" ref="E7:E60">D7</f>
        <v>0</v>
      </c>
    </row>
    <row r="8" spans="1:5" ht="12" customHeight="1">
      <c r="A8" s="52" t="str">
        <f>+INPUT!B15</f>
        <v>GW CBCU Nebraska</v>
      </c>
      <c r="B8" s="52">
        <f>+INPUT!C15</f>
        <v>3744</v>
      </c>
      <c r="C8">
        <v>3419</v>
      </c>
      <c r="D8">
        <v>3581</v>
      </c>
      <c r="E8">
        <f t="shared" si="0"/>
        <v>3581</v>
      </c>
    </row>
    <row r="9" spans="1:5" ht="12" customHeight="1">
      <c r="A9" s="9" t="s">
        <v>81</v>
      </c>
      <c r="B9" s="9"/>
      <c r="E9">
        <f t="shared" si="0"/>
        <v>0</v>
      </c>
    </row>
    <row r="10" spans="1:5" ht="12.75">
      <c r="A10" s="5" t="s">
        <v>177</v>
      </c>
      <c r="B10" s="2"/>
      <c r="E10">
        <f t="shared" si="0"/>
        <v>0</v>
      </c>
    </row>
    <row r="11" spans="1:5" ht="12.75">
      <c r="A11" s="52" t="str">
        <f>+INPUT!B186</f>
        <v>Rock Creek At Parks</v>
      </c>
      <c r="B11" s="52">
        <f>+INPUT!C186</f>
        <v>5466</v>
      </c>
      <c r="C11">
        <v>4710</v>
      </c>
      <c r="D11">
        <v>5419</v>
      </c>
      <c r="E11">
        <f t="shared" si="0"/>
        <v>5419</v>
      </c>
    </row>
    <row r="12" spans="1:5" ht="12.75">
      <c r="A12" s="52" t="str">
        <f>+INPUT!B80</f>
        <v>SW Diversions - Irrigation - Non-Federal Canals - Nebraska</v>
      </c>
      <c r="B12" s="52">
        <f>+INPUT!C80</f>
        <v>0</v>
      </c>
      <c r="C12">
        <v>0</v>
      </c>
      <c r="D12">
        <v>0</v>
      </c>
      <c r="E12">
        <f t="shared" si="0"/>
        <v>0</v>
      </c>
    </row>
    <row r="13" spans="1:5" ht="12.75">
      <c r="A13" s="52" t="str">
        <f>+INPUT!B81</f>
        <v>SW Diversions - Irrigation - Small Pumps - Nebraska</v>
      </c>
      <c r="B13" s="52">
        <f>+INPUT!C81</f>
        <v>0</v>
      </c>
      <c r="C13">
        <v>0</v>
      </c>
      <c r="D13">
        <v>0</v>
      </c>
      <c r="E13">
        <f t="shared" si="0"/>
        <v>0</v>
      </c>
    </row>
    <row r="14" spans="1:5" ht="12.75">
      <c r="A14" s="52" t="str">
        <f>+INPUT!B82</f>
        <v>SW Diversions - M&amp;I - Nebraska</v>
      </c>
      <c r="B14" s="52">
        <f>+INPUT!C82</f>
        <v>0</v>
      </c>
      <c r="C14">
        <v>0</v>
      </c>
      <c r="D14">
        <v>0</v>
      </c>
      <c r="E14">
        <f t="shared" si="0"/>
        <v>0</v>
      </c>
    </row>
    <row r="15" spans="1:5" ht="12.75">
      <c r="A15" s="52" t="str">
        <f>+INPUT!B159</f>
        <v>Non-Federal Reservoir Evaporation - Nebraska</v>
      </c>
      <c r="B15" s="52">
        <f>+INPUT!C159</f>
        <v>82</v>
      </c>
      <c r="C15">
        <v>0</v>
      </c>
      <c r="D15">
        <v>64</v>
      </c>
      <c r="E15">
        <f t="shared" si="0"/>
        <v>64</v>
      </c>
    </row>
    <row r="16" spans="1:5" ht="12.75">
      <c r="A16" s="52" t="str">
        <f>+INPUT!B202</f>
        <v>Rock Flood Flow</v>
      </c>
      <c r="B16" s="52">
        <f>+INPUT!C202</f>
        <v>0</v>
      </c>
      <c r="C16">
        <v>0</v>
      </c>
      <c r="D16">
        <v>0</v>
      </c>
      <c r="E16">
        <f t="shared" si="0"/>
        <v>0</v>
      </c>
    </row>
    <row r="17" spans="1:5" ht="12.75">
      <c r="A17" s="6" t="s">
        <v>81</v>
      </c>
      <c r="B17" s="2"/>
      <c r="E17">
        <f t="shared" si="0"/>
        <v>0</v>
      </c>
    </row>
    <row r="18" spans="1:5" ht="15.75">
      <c r="A18" s="10" t="s">
        <v>258</v>
      </c>
      <c r="B18" s="2"/>
      <c r="E18">
        <f t="shared" si="0"/>
        <v>0</v>
      </c>
    </row>
    <row r="19" spans="1:5" ht="12.75">
      <c r="A19" s="8" t="s">
        <v>0</v>
      </c>
      <c r="B19" s="2"/>
      <c r="E19">
        <f t="shared" si="0"/>
        <v>0</v>
      </c>
    </row>
    <row r="20" spans="1:5" ht="12.75">
      <c r="A20" s="2" t="str">
        <f>'NORTH FORK'!A28</f>
        <v>GW CBCU</v>
      </c>
      <c r="B20" s="2">
        <f>+B6</f>
        <v>61</v>
      </c>
      <c r="C20">
        <v>59</v>
      </c>
      <c r="D20">
        <v>58</v>
      </c>
      <c r="E20">
        <f t="shared" si="0"/>
        <v>58</v>
      </c>
    </row>
    <row r="21" spans="1:5" ht="12.75">
      <c r="A21" s="2" t="str">
        <f>'NORTH FORK'!A29</f>
        <v>Total CBCU</v>
      </c>
      <c r="B21" s="4">
        <f>(ROUND(SUM(B20:B20),-1))</f>
        <v>60</v>
      </c>
      <c r="C21">
        <v>60</v>
      </c>
      <c r="D21">
        <v>60</v>
      </c>
      <c r="E21">
        <f t="shared" si="0"/>
        <v>60</v>
      </c>
    </row>
    <row r="22" spans="1:5" ht="12.75">
      <c r="A22" s="2" t="s">
        <v>81</v>
      </c>
      <c r="B22" s="2"/>
      <c r="E22">
        <f t="shared" si="0"/>
        <v>0</v>
      </c>
    </row>
    <row r="23" spans="1:5" ht="12.75">
      <c r="A23" s="8" t="s">
        <v>178</v>
      </c>
      <c r="B23" s="2"/>
      <c r="E23">
        <f t="shared" si="0"/>
        <v>0</v>
      </c>
    </row>
    <row r="24" spans="1:5" ht="12.75">
      <c r="A24" s="2" t="str">
        <f>'NORTH FORK'!A28</f>
        <v>GW CBCU</v>
      </c>
      <c r="B24" s="2">
        <f>+B7</f>
        <v>0</v>
      </c>
      <c r="C24">
        <v>0</v>
      </c>
      <c r="D24">
        <v>0</v>
      </c>
      <c r="E24">
        <f t="shared" si="0"/>
        <v>0</v>
      </c>
    </row>
    <row r="25" spans="1:5" ht="12.75">
      <c r="A25" s="2" t="str">
        <f>'NORTH FORK'!A29</f>
        <v>Total CBCU</v>
      </c>
      <c r="B25" s="4">
        <f>(ROUND(SUM(B24:B24),-1))</f>
        <v>0</v>
      </c>
      <c r="C25">
        <v>0</v>
      </c>
      <c r="D25">
        <v>0</v>
      </c>
      <c r="E25">
        <f t="shared" si="0"/>
        <v>0</v>
      </c>
    </row>
    <row r="26" spans="1:5" ht="12.75">
      <c r="A26" s="2" t="s">
        <v>81</v>
      </c>
      <c r="B26" s="2"/>
      <c r="E26">
        <f t="shared" si="0"/>
        <v>0</v>
      </c>
    </row>
    <row r="27" spans="1:5" ht="12.75">
      <c r="A27" s="8" t="s">
        <v>1</v>
      </c>
      <c r="B27" s="2"/>
      <c r="E27">
        <f t="shared" si="0"/>
        <v>0</v>
      </c>
    </row>
    <row r="28" spans="1:5" ht="12.75">
      <c r="A28" s="73" t="str">
        <f>A12</f>
        <v>SW Diversions - Irrigation - Non-Federal Canals - Nebraska</v>
      </c>
      <c r="B28" s="73">
        <f>B12*CanalCUPercent</f>
        <v>0</v>
      </c>
      <c r="C28">
        <v>0</v>
      </c>
      <c r="D28">
        <v>0</v>
      </c>
      <c r="E28">
        <f t="shared" si="0"/>
        <v>0</v>
      </c>
    </row>
    <row r="29" spans="1:5" ht="12.75">
      <c r="A29" s="16" t="str">
        <f>'NORTH FORK'!A24</f>
        <v>SW CBCU - Irrigation - Small Pumps</v>
      </c>
      <c r="B29" s="73">
        <f>B13*PumperCUPercent</f>
        <v>0</v>
      </c>
      <c r="C29">
        <v>0</v>
      </c>
      <c r="D29">
        <v>0</v>
      </c>
      <c r="E29">
        <f t="shared" si="0"/>
        <v>0</v>
      </c>
    </row>
    <row r="30" spans="1:5" ht="12.75">
      <c r="A30" s="16" t="str">
        <f>'NORTH FORK'!A25</f>
        <v>SW CBCU - M&amp;I</v>
      </c>
      <c r="B30" s="16">
        <f>B14*MI_CUPercent</f>
        <v>0</v>
      </c>
      <c r="C30">
        <v>0</v>
      </c>
      <c r="D30">
        <v>0</v>
      </c>
      <c r="E30">
        <f t="shared" si="0"/>
        <v>0</v>
      </c>
    </row>
    <row r="31" spans="1:5" ht="12.75">
      <c r="A31" s="16" t="str">
        <f>'NORTH FORK'!A26</f>
        <v>Non-Federal Reservoir Evaporation</v>
      </c>
      <c r="B31" s="16">
        <f>B15</f>
        <v>82</v>
      </c>
      <c r="C31">
        <v>0</v>
      </c>
      <c r="D31">
        <v>64</v>
      </c>
      <c r="E31">
        <f t="shared" si="0"/>
        <v>64</v>
      </c>
    </row>
    <row r="32" spans="1:5" ht="12.75">
      <c r="A32" s="16" t="str">
        <f>'NORTH FORK'!A27</f>
        <v>SW CBCU</v>
      </c>
      <c r="B32" s="73">
        <f>B28+B29+B30+B31</f>
        <v>82</v>
      </c>
      <c r="C32">
        <v>0</v>
      </c>
      <c r="D32">
        <v>64</v>
      </c>
      <c r="E32">
        <f t="shared" si="0"/>
        <v>64</v>
      </c>
    </row>
    <row r="33" spans="1:5" ht="12.75">
      <c r="A33" s="16" t="str">
        <f>'NORTH FORK'!A28</f>
        <v>GW CBCU</v>
      </c>
      <c r="B33" s="16">
        <f>+B8</f>
        <v>3744</v>
      </c>
      <c r="C33">
        <v>3419</v>
      </c>
      <c r="D33">
        <v>3581</v>
      </c>
      <c r="E33">
        <f t="shared" si="0"/>
        <v>3581</v>
      </c>
    </row>
    <row r="34" spans="1:5" ht="12.75">
      <c r="A34" s="16" t="str">
        <f>'NORTH FORK'!A29</f>
        <v>Total CBCU</v>
      </c>
      <c r="B34" s="73">
        <f>(ROUND(SUM(B32:B33),-1))</f>
        <v>3830</v>
      </c>
      <c r="C34">
        <v>3420</v>
      </c>
      <c r="D34">
        <v>3650</v>
      </c>
      <c r="E34">
        <f t="shared" si="0"/>
        <v>3650</v>
      </c>
    </row>
    <row r="35" spans="1:5" ht="12.75">
      <c r="A35" s="98" t="s">
        <v>81</v>
      </c>
      <c r="B35" s="16"/>
      <c r="E35">
        <f t="shared" si="0"/>
        <v>0</v>
      </c>
    </row>
    <row r="36" spans="1:5" ht="12.75">
      <c r="A36" s="5" t="s">
        <v>179</v>
      </c>
      <c r="B36" s="16"/>
      <c r="E36">
        <f t="shared" si="0"/>
        <v>0</v>
      </c>
    </row>
    <row r="37" spans="1:5" ht="12.75">
      <c r="A37" s="98" t="str">
        <f>'NORTH FORK'!A42</f>
        <v>Total SW CBCU</v>
      </c>
      <c r="B37" s="73">
        <f>+B32</f>
        <v>82</v>
      </c>
      <c r="C37">
        <v>0</v>
      </c>
      <c r="D37">
        <v>64</v>
      </c>
      <c r="E37">
        <f t="shared" si="0"/>
        <v>64</v>
      </c>
    </row>
    <row r="38" spans="1:5" ht="12.75">
      <c r="A38" s="98" t="str">
        <f>'NORTH FORK'!A43</f>
        <v>Total GW CBCU</v>
      </c>
      <c r="B38" s="73">
        <f>+B20+B24+B33</f>
        <v>3805</v>
      </c>
      <c r="C38">
        <v>3478</v>
      </c>
      <c r="D38">
        <v>3639</v>
      </c>
      <c r="E38">
        <f t="shared" si="0"/>
        <v>3639</v>
      </c>
    </row>
    <row r="39" spans="1:5" ht="12.75">
      <c r="A39" s="98" t="str">
        <f>'NORTH FORK'!A44</f>
        <v>Total Basin CBCU</v>
      </c>
      <c r="B39" s="73">
        <f>(ROUND(SUM(B37:B38),-1))</f>
        <v>3890</v>
      </c>
      <c r="C39">
        <v>3480</v>
      </c>
      <c r="D39">
        <v>3700</v>
      </c>
      <c r="E39">
        <f t="shared" si="0"/>
        <v>3700</v>
      </c>
    </row>
    <row r="40" spans="1:5" ht="12.75">
      <c r="A40" s="98" t="s">
        <v>81</v>
      </c>
      <c r="B40" s="16"/>
      <c r="E40">
        <f t="shared" si="0"/>
        <v>0</v>
      </c>
    </row>
    <row r="41" spans="1:5" ht="15.75">
      <c r="A41" s="11" t="s">
        <v>10</v>
      </c>
      <c r="B41" s="16"/>
      <c r="E41">
        <f t="shared" si="0"/>
        <v>0</v>
      </c>
    </row>
    <row r="42" spans="1:5" ht="12.75">
      <c r="A42" s="16" t="str">
        <f>A11</f>
        <v>Rock Creek At Parks</v>
      </c>
      <c r="B42" s="73">
        <f>B11</f>
        <v>5466</v>
      </c>
      <c r="C42">
        <v>4710</v>
      </c>
      <c r="D42">
        <v>5419</v>
      </c>
      <c r="E42">
        <f t="shared" si="0"/>
        <v>5419</v>
      </c>
    </row>
    <row r="43" spans="1:5" ht="12.75">
      <c r="A43" s="16" t="str">
        <f>'NORTH FORK'!A49</f>
        <v>Colorado CBCU</v>
      </c>
      <c r="B43" s="73">
        <f>+B21</f>
        <v>60</v>
      </c>
      <c r="C43">
        <v>60</v>
      </c>
      <c r="D43">
        <v>60</v>
      </c>
      <c r="E43">
        <f t="shared" si="0"/>
        <v>60</v>
      </c>
    </row>
    <row r="44" spans="1:5" ht="12.75">
      <c r="A44" s="16" t="str">
        <f>'NORTH FORK'!A50</f>
        <v>Kansas CBCU</v>
      </c>
      <c r="B44" s="73">
        <f>+B25</f>
        <v>0</v>
      </c>
      <c r="C44">
        <v>0</v>
      </c>
      <c r="D44">
        <v>0</v>
      </c>
      <c r="E44">
        <f t="shared" si="0"/>
        <v>0</v>
      </c>
    </row>
    <row r="45" spans="1:5" ht="12.75">
      <c r="A45" s="16" t="str">
        <f>'NORTH FORK'!A51</f>
        <v>Nebraska CBCU</v>
      </c>
      <c r="B45" s="73">
        <f>+B34</f>
        <v>3830</v>
      </c>
      <c r="C45">
        <v>3420</v>
      </c>
      <c r="D45">
        <v>3650</v>
      </c>
      <c r="E45">
        <f t="shared" si="0"/>
        <v>3650</v>
      </c>
    </row>
    <row r="46" spans="1:5" ht="12.75">
      <c r="A46" s="16" t="str">
        <f>'NORTH FORK'!A52</f>
        <v>Imported Water</v>
      </c>
      <c r="B46" s="16">
        <f>B5</f>
        <v>0</v>
      </c>
      <c r="C46">
        <v>0</v>
      </c>
      <c r="D46">
        <v>0</v>
      </c>
      <c r="E46">
        <f t="shared" si="0"/>
        <v>0</v>
      </c>
    </row>
    <row r="47" spans="1:5" ht="12.75">
      <c r="A47" s="16" t="str">
        <f>'NORTH FORK'!A53</f>
        <v>Virgin Water Supply</v>
      </c>
      <c r="B47" s="73">
        <f>ROUND(SUM(B42:B45)-B46,-1)</f>
        <v>9360</v>
      </c>
      <c r="C47">
        <v>8190</v>
      </c>
      <c r="D47">
        <v>9130</v>
      </c>
      <c r="E47">
        <f t="shared" si="0"/>
        <v>9130</v>
      </c>
    </row>
    <row r="48" spans="1:5" ht="12.75">
      <c r="A48" s="16" t="str">
        <f>'NORTH FORK'!A54</f>
        <v>Adjustment For Flood Flows</v>
      </c>
      <c r="B48" s="16">
        <f>B16</f>
        <v>0</v>
      </c>
      <c r="C48">
        <v>0</v>
      </c>
      <c r="D48">
        <v>0</v>
      </c>
      <c r="E48">
        <f t="shared" si="0"/>
        <v>0</v>
      </c>
    </row>
    <row r="49" spans="1:5" ht="12.75">
      <c r="A49" s="16" t="str">
        <f>'NORTH FORK'!A55</f>
        <v>Computed Water Supply</v>
      </c>
      <c r="B49" s="73">
        <f>ROUND(+B47-B48,-1)</f>
        <v>9360</v>
      </c>
      <c r="C49">
        <v>8190</v>
      </c>
      <c r="D49">
        <v>9130</v>
      </c>
      <c r="E49">
        <f t="shared" si="0"/>
        <v>9130</v>
      </c>
    </row>
    <row r="50" spans="1:5" ht="12.75">
      <c r="A50" s="9" t="s">
        <v>81</v>
      </c>
      <c r="B50" s="2"/>
      <c r="E50">
        <f t="shared" si="0"/>
        <v>0</v>
      </c>
    </row>
    <row r="51" spans="1:5" ht="15.75">
      <c r="A51" s="11" t="s">
        <v>12</v>
      </c>
      <c r="B51" s="13"/>
      <c r="E51">
        <f t="shared" si="0"/>
        <v>0</v>
      </c>
    </row>
    <row r="52" spans="1:5" ht="12.75">
      <c r="A52" s="2" t="str">
        <f>'NORTH FORK'!A58</f>
        <v>Colorado Percent Of Allocation</v>
      </c>
      <c r="B52" s="15">
        <f>'T2'!D6</f>
        <v>0</v>
      </c>
      <c r="C52">
        <v>0</v>
      </c>
      <c r="D52">
        <v>0</v>
      </c>
      <c r="E52">
        <f t="shared" si="0"/>
        <v>0</v>
      </c>
    </row>
    <row r="53" spans="1:5" ht="12.75">
      <c r="A53" s="2" t="str">
        <f>'NORTH FORK'!A59</f>
        <v>Colorado Allocation</v>
      </c>
      <c r="B53" s="4">
        <f>ROUND(+B49*B52,-1)</f>
        <v>0</v>
      </c>
      <c r="C53">
        <v>0</v>
      </c>
      <c r="D53">
        <v>0</v>
      </c>
      <c r="E53">
        <f t="shared" si="0"/>
        <v>0</v>
      </c>
    </row>
    <row r="54" spans="1:5" ht="12.75">
      <c r="A54" s="2" t="str">
        <f>'NORTH FORK'!A60</f>
        <v>Kansas Percent Of Allocation</v>
      </c>
      <c r="B54" s="15">
        <f>'T2'!F6</f>
        <v>0</v>
      </c>
      <c r="C54">
        <v>0</v>
      </c>
      <c r="D54">
        <v>0</v>
      </c>
      <c r="E54">
        <f t="shared" si="0"/>
        <v>0</v>
      </c>
    </row>
    <row r="55" spans="1:5" ht="12.75">
      <c r="A55" s="2" t="str">
        <f>'NORTH FORK'!A61</f>
        <v>Kansas Allocation</v>
      </c>
      <c r="B55" s="4">
        <f>ROUND(B49*B54,-1)</f>
        <v>0</v>
      </c>
      <c r="C55">
        <v>0</v>
      </c>
      <c r="D55">
        <v>0</v>
      </c>
      <c r="E55">
        <f t="shared" si="0"/>
        <v>0</v>
      </c>
    </row>
    <row r="56" spans="1:5" ht="12.75">
      <c r="A56" s="2" t="str">
        <f>'NORTH FORK'!A62</f>
        <v>Nebraska Percent Of Allocation</v>
      </c>
      <c r="B56" s="15">
        <f>'T2'!H6</f>
        <v>0.4</v>
      </c>
      <c r="C56">
        <v>0.4</v>
      </c>
      <c r="D56">
        <v>0.4</v>
      </c>
      <c r="E56">
        <f t="shared" si="0"/>
        <v>0.4</v>
      </c>
    </row>
    <row r="57" spans="1:5" ht="12.75">
      <c r="A57" s="2" t="str">
        <f>'NORTH FORK'!A63</f>
        <v>Nebraska Allocation</v>
      </c>
      <c r="B57" s="4">
        <f>ROUND(B49*B56,-1)</f>
        <v>3740</v>
      </c>
      <c r="C57">
        <v>3280</v>
      </c>
      <c r="D57">
        <v>3650</v>
      </c>
      <c r="E57">
        <f t="shared" si="0"/>
        <v>3650</v>
      </c>
    </row>
    <row r="58" spans="1:5" ht="12.75">
      <c r="A58" s="2" t="str">
        <f>'NORTH FORK'!A64</f>
        <v>Total Basin Allocation</v>
      </c>
      <c r="B58" s="4">
        <f>+B53+B55+B57</f>
        <v>3740</v>
      </c>
      <c r="C58">
        <v>3280</v>
      </c>
      <c r="D58">
        <v>3650</v>
      </c>
      <c r="E58">
        <f t="shared" si="0"/>
        <v>3650</v>
      </c>
    </row>
    <row r="59" spans="1:5" ht="12.75">
      <c r="A59" s="2" t="str">
        <f>'NORTH FORK'!A65</f>
        <v>Percent Of Supply Not Allocated</v>
      </c>
      <c r="B59" s="15">
        <f>'T2'!J6</f>
        <v>0.6</v>
      </c>
      <c r="C59">
        <v>0.6</v>
      </c>
      <c r="D59">
        <v>0.6</v>
      </c>
      <c r="E59">
        <f t="shared" si="0"/>
        <v>0.6</v>
      </c>
    </row>
    <row r="60" spans="1:5" ht="12.75">
      <c r="A60" s="2" t="str">
        <f>'NORTH FORK'!A66</f>
        <v>Quantity Of Unallocated Supply</v>
      </c>
      <c r="B60" s="4">
        <f>+B49-B53-B55-B57</f>
        <v>5620</v>
      </c>
      <c r="C60">
        <v>4910</v>
      </c>
      <c r="D60">
        <v>5480</v>
      </c>
      <c r="E60">
        <f t="shared" si="0"/>
        <v>5480</v>
      </c>
    </row>
  </sheetData>
  <printOptions headings="1"/>
  <pageMargins left="0.75" right="0.75" top="0.75" bottom="0.5" header="0.25" footer="0.5"/>
  <pageSetup fitToHeight="1" fitToWidth="1" horizontalDpi="600" verticalDpi="600" orientation="portrait" paperSize="3" scale="88" r:id="rId1"/>
  <headerFooter alignWithMargins="0">
    <oddHeader>&amp;LRRCA
Compact Accounting&amp;C&amp;A SUB-BASIN&amp;RPage &amp;P of &amp;N</oddHeader>
  </headerFooter>
  <rowBreaks count="1" manualBreakCount="1">
    <brk id="49" max="2" man="1"/>
  </rowBreaks>
</worksheet>
</file>

<file path=xl/worksheets/sheet7.xml><?xml version="1.0" encoding="utf-8"?>
<worksheet xmlns="http://schemas.openxmlformats.org/spreadsheetml/2006/main" xmlns:r="http://schemas.openxmlformats.org/officeDocument/2006/relationships">
  <sheetPr codeName="Sheet7">
    <pageSetUpPr fitToPage="1"/>
  </sheetPr>
  <dimension ref="A1:G84"/>
  <sheetViews>
    <sheetView workbookViewId="0" topLeftCell="A1">
      <selection activeCell="A1" sqref="A1"/>
    </sheetView>
  </sheetViews>
  <sheetFormatPr defaultColWidth="9.140625" defaultRowHeight="12.75"/>
  <cols>
    <col min="1" max="1" width="69.421875" style="0" customWidth="1"/>
    <col min="2" max="2" width="8.7109375" style="0" customWidth="1"/>
  </cols>
  <sheetData>
    <row r="1" spans="1:7" ht="15.75">
      <c r="A1" s="59" t="s">
        <v>226</v>
      </c>
      <c r="B1">
        <f>INPUT!C1</f>
        <v>2005</v>
      </c>
      <c r="C1">
        <v>2003</v>
      </c>
      <c r="D1">
        <v>2004</v>
      </c>
      <c r="E1" s="309">
        <v>2005</v>
      </c>
      <c r="F1" s="309">
        <v>2006</v>
      </c>
      <c r="G1" s="309">
        <v>2007</v>
      </c>
    </row>
    <row r="2" ht="12.75"/>
    <row r="3" ht="15.75">
      <c r="A3" s="10" t="s">
        <v>174</v>
      </c>
    </row>
    <row r="4" ht="12.75">
      <c r="A4" s="8" t="s">
        <v>175</v>
      </c>
    </row>
    <row r="5" spans="1:5" ht="12.75">
      <c r="A5" s="52" t="str">
        <f>+INPUT!B50</f>
        <v>Imported Water Nebraska</v>
      </c>
      <c r="B5" s="52">
        <f>+INPUT!C50</f>
        <v>0</v>
      </c>
      <c r="C5">
        <v>0</v>
      </c>
      <c r="D5">
        <v>0</v>
      </c>
      <c r="E5">
        <f>D5</f>
        <v>0</v>
      </c>
    </row>
    <row r="6" spans="1:5" ht="12.75">
      <c r="A6" s="52" t="str">
        <f>+INPUT!B16</f>
        <v>GW CBCU Colorado</v>
      </c>
      <c r="B6" s="52">
        <f>+INPUT!C16</f>
        <v>14952</v>
      </c>
      <c r="C6">
        <v>12115</v>
      </c>
      <c r="D6">
        <v>12874</v>
      </c>
      <c r="E6">
        <f>D6</f>
        <v>12874</v>
      </c>
    </row>
    <row r="7" spans="1:5" ht="12.75">
      <c r="A7" s="52" t="str">
        <f>+INPUT!B17</f>
        <v>GW CBCU Kansas</v>
      </c>
      <c r="B7" s="52">
        <f>+INPUT!C17</f>
        <v>7227</v>
      </c>
      <c r="C7">
        <v>5351</v>
      </c>
      <c r="D7">
        <v>5781</v>
      </c>
      <c r="E7">
        <f aca="true" t="shared" si="0" ref="E7:E70">D7</f>
        <v>5781</v>
      </c>
    </row>
    <row r="8" spans="1:5" ht="12" customHeight="1">
      <c r="A8" s="52" t="str">
        <f>+INPUT!B18</f>
        <v>GW CBCU Nebraska</v>
      </c>
      <c r="B8" s="52">
        <f>+INPUT!C18</f>
        <v>1372</v>
      </c>
      <c r="C8">
        <v>1347</v>
      </c>
      <c r="D8">
        <v>1202</v>
      </c>
      <c r="E8">
        <f t="shared" si="0"/>
        <v>1202</v>
      </c>
    </row>
    <row r="9" spans="1:5" ht="12" customHeight="1">
      <c r="A9" s="9" t="s">
        <v>81</v>
      </c>
      <c r="B9" s="9"/>
      <c r="E9">
        <f t="shared" si="0"/>
        <v>0</v>
      </c>
    </row>
    <row r="10" spans="1:5" ht="12.75">
      <c r="A10" s="5" t="s">
        <v>177</v>
      </c>
      <c r="B10" s="2"/>
      <c r="E10">
        <f t="shared" si="0"/>
        <v>0</v>
      </c>
    </row>
    <row r="11" spans="1:5" ht="12.75">
      <c r="A11" s="52" t="str">
        <f>+INPUT!B187</f>
        <v>South Fork Republican River Near Benkelman</v>
      </c>
      <c r="B11" s="58">
        <f>+INPUT!C187</f>
        <v>0</v>
      </c>
      <c r="C11">
        <v>905.35872</v>
      </c>
      <c r="D11">
        <v>0</v>
      </c>
      <c r="E11">
        <f t="shared" si="0"/>
        <v>0</v>
      </c>
    </row>
    <row r="12" spans="1:5" ht="12.75">
      <c r="A12" s="52" t="str">
        <f>+INPUT!B214</f>
        <v>Bonny Reservoir Evaporation</v>
      </c>
      <c r="B12" s="52">
        <f>+INPUT!C214</f>
        <v>3429.5077083333335</v>
      </c>
      <c r="C12">
        <v>3375</v>
      </c>
      <c r="D12">
        <v>3158.1</v>
      </c>
      <c r="E12">
        <f t="shared" si="0"/>
        <v>3158.1</v>
      </c>
    </row>
    <row r="13" spans="1:5" ht="12.75">
      <c r="A13" s="52" t="str">
        <f>+INPUT!B215</f>
        <v>Bonny Reservoir Change In Storage</v>
      </c>
      <c r="B13" s="52">
        <f>+INPUT!C215</f>
        <v>-1500</v>
      </c>
      <c r="C13">
        <v>-2226</v>
      </c>
      <c r="D13">
        <v>-2900</v>
      </c>
      <c r="E13">
        <f t="shared" si="0"/>
        <v>-2900</v>
      </c>
    </row>
    <row r="14" spans="1:5" ht="12.75">
      <c r="A14" s="52" t="str">
        <f>+INPUT!B234</f>
        <v>Hale Ditch Diversions</v>
      </c>
      <c r="B14" s="52">
        <f>+INPUT!C234</f>
        <v>0</v>
      </c>
      <c r="C14">
        <v>0</v>
      </c>
      <c r="D14">
        <v>0</v>
      </c>
      <c r="E14">
        <f t="shared" si="0"/>
        <v>0</v>
      </c>
    </row>
    <row r="15" spans="1:5" ht="12.75">
      <c r="A15" s="52" t="str">
        <f>+INPUT!B83</f>
        <v>SW Diversions - Irrigation -Non-Federal Canals- Colorado</v>
      </c>
      <c r="B15" s="52">
        <f>+INPUT!C83</f>
        <v>458</v>
      </c>
      <c r="C15">
        <v>996</v>
      </c>
      <c r="D15">
        <v>1283.3</v>
      </c>
      <c r="E15">
        <f t="shared" si="0"/>
        <v>1283.3</v>
      </c>
    </row>
    <row r="16" spans="1:5" ht="12.75">
      <c r="A16" s="107" t="str">
        <f>+INPUT!B84</f>
        <v>SW Diversions - Irrigation - Small Pumps - Colorado</v>
      </c>
      <c r="B16" s="107">
        <f>+INPUT!C84</f>
        <v>0</v>
      </c>
      <c r="C16">
        <v>0</v>
      </c>
      <c r="D16">
        <v>0</v>
      </c>
      <c r="E16">
        <f t="shared" si="0"/>
        <v>0</v>
      </c>
    </row>
    <row r="17" spans="1:5" ht="12.75">
      <c r="A17" s="107" t="str">
        <f>+INPUT!B85</f>
        <v>SW Diversions - M&amp;I - Colorado</v>
      </c>
      <c r="B17" s="107">
        <f>+INPUT!C85</f>
        <v>0</v>
      </c>
      <c r="C17">
        <v>0</v>
      </c>
      <c r="D17">
        <v>0</v>
      </c>
      <c r="E17">
        <f t="shared" si="0"/>
        <v>0</v>
      </c>
    </row>
    <row r="18" spans="1:5" ht="12.75">
      <c r="A18" s="107" t="str">
        <f>+INPUT!B86</f>
        <v>SW Diversions - Irrigation - Non-Federal Canals- Kansas</v>
      </c>
      <c r="B18" s="107">
        <f>+INPUT!C86</f>
        <v>0</v>
      </c>
      <c r="C18">
        <v>0</v>
      </c>
      <c r="D18">
        <v>0</v>
      </c>
      <c r="E18">
        <f t="shared" si="0"/>
        <v>0</v>
      </c>
    </row>
    <row r="19" spans="1:5" ht="12.75">
      <c r="A19" s="107" t="str">
        <f>+INPUT!B87</f>
        <v>SW Diversions - Irrigation - Small Pumps - Kansas</v>
      </c>
      <c r="B19" s="107">
        <f>+INPUT!C87</f>
        <v>13</v>
      </c>
      <c r="C19">
        <v>39</v>
      </c>
      <c r="D19">
        <v>25</v>
      </c>
      <c r="E19">
        <f t="shared" si="0"/>
        <v>25</v>
      </c>
    </row>
    <row r="20" spans="1:5" ht="12.75">
      <c r="A20" s="107" t="str">
        <f>+INPUT!B88</f>
        <v>SW Diversions - M&amp;I - Kansas</v>
      </c>
      <c r="B20" s="107">
        <f>+INPUT!C88</f>
        <v>0</v>
      </c>
      <c r="C20">
        <v>0</v>
      </c>
      <c r="D20">
        <v>0</v>
      </c>
      <c r="E20">
        <f t="shared" si="0"/>
        <v>0</v>
      </c>
    </row>
    <row r="21" spans="1:5" ht="12.75">
      <c r="A21" s="107" t="str">
        <f>+INPUT!B89</f>
        <v>SW Diversions - Irrigation - Non-Federal Canals - Nebraska</v>
      </c>
      <c r="B21" s="107">
        <f>+INPUT!C89</f>
        <v>0</v>
      </c>
      <c r="C21">
        <v>0</v>
      </c>
      <c r="D21">
        <v>0</v>
      </c>
      <c r="E21">
        <f t="shared" si="0"/>
        <v>0</v>
      </c>
    </row>
    <row r="22" spans="1:5" ht="12.75">
      <c r="A22" s="107" t="str">
        <f>+INPUT!B90</f>
        <v>SW Diversions - Irrigation - Small Pumps - Nebraska</v>
      </c>
      <c r="B22" s="107">
        <f>+INPUT!C90</f>
        <v>0</v>
      </c>
      <c r="C22">
        <v>0</v>
      </c>
      <c r="D22">
        <v>0</v>
      </c>
      <c r="E22">
        <f t="shared" si="0"/>
        <v>0</v>
      </c>
    </row>
    <row r="23" spans="1:5" ht="12.75">
      <c r="A23" s="107" t="str">
        <f>INPUT!B91</f>
        <v>SW Diversions - M&amp;I - Nebraska</v>
      </c>
      <c r="B23" s="107">
        <f>INPUT!C91</f>
        <v>0</v>
      </c>
      <c r="C23">
        <v>0</v>
      </c>
      <c r="D23">
        <v>0</v>
      </c>
      <c r="E23">
        <f t="shared" si="0"/>
        <v>0</v>
      </c>
    </row>
    <row r="24" spans="1:5" ht="12.75">
      <c r="A24" s="107" t="str">
        <f>+INPUT!B160</f>
        <v>Non-Federal Reservoir Evaporation - Colorado</v>
      </c>
      <c r="B24" s="107">
        <f>+INPUT!C160</f>
        <v>0</v>
      </c>
      <c r="C24">
        <v>0</v>
      </c>
      <c r="D24">
        <v>0</v>
      </c>
      <c r="E24">
        <f t="shared" si="0"/>
        <v>0</v>
      </c>
    </row>
    <row r="25" spans="1:5" ht="12.75">
      <c r="A25" s="107" t="str">
        <f>+INPUT!B161</f>
        <v>Non-Federal Reservoir Evaporation - Kansas</v>
      </c>
      <c r="B25" s="107">
        <f>+INPUT!C161</f>
        <v>284.5</v>
      </c>
      <c r="C25">
        <v>0</v>
      </c>
      <c r="D25">
        <v>284.5</v>
      </c>
      <c r="E25">
        <f t="shared" si="0"/>
        <v>284.5</v>
      </c>
    </row>
    <row r="26" spans="1:5" ht="12.75">
      <c r="A26" s="107" t="str">
        <f>+INPUT!B162</f>
        <v>Non-Federal Reservoir Evaporation - Nebraska</v>
      </c>
      <c r="B26" s="107">
        <f>+INPUT!C162</f>
        <v>0</v>
      </c>
      <c r="C26">
        <v>0</v>
      </c>
      <c r="D26">
        <v>0</v>
      </c>
      <c r="E26">
        <f t="shared" si="0"/>
        <v>0</v>
      </c>
    </row>
    <row r="27" spans="1:5" ht="12.75">
      <c r="A27" s="107" t="str">
        <f>+INPUT!B203</f>
        <v>Southfork Flood Flow</v>
      </c>
      <c r="B27" s="107">
        <f>+INPUT!C203</f>
        <v>0</v>
      </c>
      <c r="C27">
        <v>0</v>
      </c>
      <c r="D27">
        <v>0</v>
      </c>
      <c r="E27">
        <f t="shared" si="0"/>
        <v>0</v>
      </c>
    </row>
    <row r="28" spans="1:5" ht="12.75">
      <c r="A28" s="122" t="s">
        <v>81</v>
      </c>
      <c r="B28" s="16"/>
      <c r="E28">
        <f t="shared" si="0"/>
        <v>0</v>
      </c>
    </row>
    <row r="29" spans="1:5" ht="15.75">
      <c r="A29" s="10" t="s">
        <v>258</v>
      </c>
      <c r="B29" s="16"/>
      <c r="E29">
        <f t="shared" si="0"/>
        <v>0</v>
      </c>
    </row>
    <row r="30" spans="1:5" ht="12.75">
      <c r="A30" s="8" t="s">
        <v>0</v>
      </c>
      <c r="B30" s="16"/>
      <c r="E30">
        <f t="shared" si="0"/>
        <v>0</v>
      </c>
    </row>
    <row r="31" spans="1:5" ht="12.75">
      <c r="A31" s="12" t="s">
        <v>250</v>
      </c>
      <c r="B31" s="16">
        <f>+B14*CanalCUPercent</f>
        <v>0</v>
      </c>
      <c r="C31">
        <v>0</v>
      </c>
      <c r="D31">
        <v>0</v>
      </c>
      <c r="E31">
        <f t="shared" si="0"/>
        <v>0</v>
      </c>
    </row>
    <row r="32" spans="1:5" ht="12.75">
      <c r="A32" s="16" t="str">
        <f>'NORTH FORK'!A23</f>
        <v>SW CBCU - Irrigation - Non Federal Canals</v>
      </c>
      <c r="B32" s="125">
        <f>B15*CanalCUPercent</f>
        <v>274.8</v>
      </c>
      <c r="C32">
        <v>597.6</v>
      </c>
      <c r="D32">
        <v>769.98</v>
      </c>
      <c r="E32">
        <f t="shared" si="0"/>
        <v>769.98</v>
      </c>
    </row>
    <row r="33" spans="1:5" ht="12.75">
      <c r="A33" s="16" t="str">
        <f>'NORTH FORK'!A24</f>
        <v>SW CBCU - Irrigation - Small Pumps</v>
      </c>
      <c r="B33" s="125">
        <f>B16*PumperCUPercent</f>
        <v>0</v>
      </c>
      <c r="C33">
        <v>0</v>
      </c>
      <c r="D33">
        <v>0</v>
      </c>
      <c r="E33">
        <f t="shared" si="0"/>
        <v>0</v>
      </c>
    </row>
    <row r="34" spans="1:5" ht="12.75">
      <c r="A34" s="16" t="str">
        <f>'NORTH FORK'!A25</f>
        <v>SW CBCU - M&amp;I</v>
      </c>
      <c r="B34" s="16">
        <f>+B17*MI_CUPercent</f>
        <v>0</v>
      </c>
      <c r="C34">
        <v>0</v>
      </c>
      <c r="D34">
        <v>0</v>
      </c>
      <c r="E34">
        <f t="shared" si="0"/>
        <v>0</v>
      </c>
    </row>
    <row r="35" spans="1:5" ht="12.75">
      <c r="A35" s="16" t="str">
        <f>'NORTH FORK'!A26</f>
        <v>Non-Federal Reservoir Evaporation</v>
      </c>
      <c r="B35" s="16">
        <f>+B24</f>
        <v>0</v>
      </c>
      <c r="C35">
        <v>0</v>
      </c>
      <c r="D35">
        <v>0</v>
      </c>
      <c r="E35">
        <f t="shared" si="0"/>
        <v>0</v>
      </c>
    </row>
    <row r="36" spans="1:5" ht="12.75">
      <c r="A36" s="98" t="str">
        <f>A12</f>
        <v>Bonny Reservoir Evaporation</v>
      </c>
      <c r="B36" s="16">
        <f>+B12</f>
        <v>3429.5077083333335</v>
      </c>
      <c r="C36">
        <v>3375</v>
      </c>
      <c r="D36">
        <v>3158.1</v>
      </c>
      <c r="E36">
        <f t="shared" si="0"/>
        <v>3158.1</v>
      </c>
    </row>
    <row r="37" spans="1:5" ht="12.75">
      <c r="A37" s="16" t="str">
        <f>'NORTH FORK'!A27</f>
        <v>SW CBCU</v>
      </c>
      <c r="B37" s="73">
        <f>B31+B32+B33+B34+B35+B36</f>
        <v>3704.3077083333337</v>
      </c>
      <c r="C37">
        <v>3972.6</v>
      </c>
      <c r="D37">
        <v>3928.08</v>
      </c>
      <c r="E37">
        <f t="shared" si="0"/>
        <v>3928.08</v>
      </c>
    </row>
    <row r="38" spans="1:5" ht="12.75">
      <c r="A38" s="16" t="str">
        <f>'NORTH FORK'!A28</f>
        <v>GW CBCU</v>
      </c>
      <c r="B38" s="16">
        <f>+B6</f>
        <v>14952</v>
      </c>
      <c r="C38">
        <v>12115</v>
      </c>
      <c r="D38">
        <v>12874</v>
      </c>
      <c r="E38">
        <f t="shared" si="0"/>
        <v>12874</v>
      </c>
    </row>
    <row r="39" spans="1:5" ht="12.75">
      <c r="A39" s="16" t="str">
        <f>'NORTH FORK'!A29</f>
        <v>Total CBCU</v>
      </c>
      <c r="B39" s="73">
        <f>(ROUND(SUM(B37:B38),-1))</f>
        <v>18660</v>
      </c>
      <c r="C39">
        <v>16090</v>
      </c>
      <c r="D39">
        <v>16800</v>
      </c>
      <c r="E39">
        <f t="shared" si="0"/>
        <v>16800</v>
      </c>
    </row>
    <row r="40" spans="1:5" ht="12.75">
      <c r="A40" s="16" t="s">
        <v>81</v>
      </c>
      <c r="B40" s="16"/>
      <c r="E40">
        <f t="shared" si="0"/>
        <v>0</v>
      </c>
    </row>
    <row r="41" spans="1:5" ht="12.75">
      <c r="A41" s="8" t="s">
        <v>178</v>
      </c>
      <c r="B41" s="16"/>
      <c r="E41">
        <f t="shared" si="0"/>
        <v>0</v>
      </c>
    </row>
    <row r="42" spans="1:5" ht="12.75">
      <c r="A42" s="16" t="str">
        <f>'NORTH FORK'!A23</f>
        <v>SW CBCU - Irrigation - Non Federal Canals</v>
      </c>
      <c r="B42" s="16">
        <f>+B18*CanalCUPercent</f>
        <v>0</v>
      </c>
      <c r="C42">
        <v>0</v>
      </c>
      <c r="D42">
        <v>0</v>
      </c>
      <c r="E42">
        <f t="shared" si="0"/>
        <v>0</v>
      </c>
    </row>
    <row r="43" spans="1:5" ht="12.75">
      <c r="A43" s="16" t="str">
        <f>'NORTH FORK'!A24</f>
        <v>SW CBCU - Irrigation - Small Pumps</v>
      </c>
      <c r="B43" s="16">
        <f>+B19*PumperCUPercent</f>
        <v>9.75</v>
      </c>
      <c r="C43">
        <v>29.25</v>
      </c>
      <c r="D43">
        <v>18.75</v>
      </c>
      <c r="E43">
        <f t="shared" si="0"/>
        <v>18.75</v>
      </c>
    </row>
    <row r="44" spans="1:5" ht="12.75">
      <c r="A44" s="16" t="str">
        <f>'NORTH FORK'!A25</f>
        <v>SW CBCU - M&amp;I</v>
      </c>
      <c r="B44" s="16">
        <f>+B20*MI_CUPercent</f>
        <v>0</v>
      </c>
      <c r="C44">
        <v>0</v>
      </c>
      <c r="D44">
        <v>0</v>
      </c>
      <c r="E44">
        <f t="shared" si="0"/>
        <v>0</v>
      </c>
    </row>
    <row r="45" spans="1:5" ht="12.75">
      <c r="A45" s="16" t="str">
        <f>'NORTH FORK'!A26</f>
        <v>Non-Federal Reservoir Evaporation</v>
      </c>
      <c r="B45" s="16">
        <f>B25</f>
        <v>284.5</v>
      </c>
      <c r="C45">
        <v>0</v>
      </c>
      <c r="D45">
        <v>284.5</v>
      </c>
      <c r="E45">
        <f t="shared" si="0"/>
        <v>284.5</v>
      </c>
    </row>
    <row r="46" spans="1:5" ht="12.75">
      <c r="A46" s="16" t="str">
        <f>'NORTH FORK'!A27</f>
        <v>SW CBCU</v>
      </c>
      <c r="B46" s="73">
        <f>B42+B43+B44+B45</f>
        <v>294.25</v>
      </c>
      <c r="C46">
        <v>29.25</v>
      </c>
      <c r="D46">
        <v>303.25</v>
      </c>
      <c r="E46">
        <f t="shared" si="0"/>
        <v>303.25</v>
      </c>
    </row>
    <row r="47" spans="1:5" ht="12.75">
      <c r="A47" s="2" t="str">
        <f>'NORTH FORK'!A28</f>
        <v>GW CBCU</v>
      </c>
      <c r="B47" s="2">
        <f>+B7</f>
        <v>7227</v>
      </c>
      <c r="C47">
        <v>5351</v>
      </c>
      <c r="D47">
        <v>5781</v>
      </c>
      <c r="E47">
        <f t="shared" si="0"/>
        <v>5781</v>
      </c>
    </row>
    <row r="48" spans="1:5" ht="12.75">
      <c r="A48" s="2" t="str">
        <f>'NORTH FORK'!A29</f>
        <v>Total CBCU</v>
      </c>
      <c r="B48" s="4">
        <f>(ROUND(SUM(B46:B47),-1))</f>
        <v>7520</v>
      </c>
      <c r="C48">
        <v>5380</v>
      </c>
      <c r="D48">
        <v>6080</v>
      </c>
      <c r="E48">
        <f t="shared" si="0"/>
        <v>6080</v>
      </c>
    </row>
    <row r="49" spans="1:5" ht="12.75">
      <c r="A49" s="2" t="s">
        <v>81</v>
      </c>
      <c r="B49" s="2"/>
      <c r="E49">
        <f t="shared" si="0"/>
        <v>0</v>
      </c>
    </row>
    <row r="50" spans="1:5" ht="12.75">
      <c r="A50" s="8" t="s">
        <v>1</v>
      </c>
      <c r="B50" s="2"/>
      <c r="E50">
        <f t="shared" si="0"/>
        <v>0</v>
      </c>
    </row>
    <row r="51" spans="1:5" ht="12.75">
      <c r="A51" s="16" t="str">
        <f>'NORTH FORK'!A23</f>
        <v>SW CBCU - Irrigation - Non Federal Canals</v>
      </c>
      <c r="B51" s="4">
        <f>B21*CanalCUPercent</f>
        <v>0</v>
      </c>
      <c r="C51">
        <v>0</v>
      </c>
      <c r="D51">
        <v>0</v>
      </c>
      <c r="E51">
        <f t="shared" si="0"/>
        <v>0</v>
      </c>
    </row>
    <row r="52" spans="1:5" ht="12.75">
      <c r="A52" s="2" t="str">
        <f>'NORTH FORK'!A24</f>
        <v>SW CBCU - Irrigation - Small Pumps</v>
      </c>
      <c r="B52" s="4">
        <f>B22*PumperCUPercent</f>
        <v>0</v>
      </c>
      <c r="C52">
        <v>0</v>
      </c>
      <c r="D52">
        <v>0</v>
      </c>
      <c r="E52">
        <f t="shared" si="0"/>
        <v>0</v>
      </c>
    </row>
    <row r="53" spans="1:5" ht="12.75">
      <c r="A53" s="2" t="str">
        <f>'NORTH FORK'!A25</f>
        <v>SW CBCU - M&amp;I</v>
      </c>
      <c r="B53" s="2">
        <f>B23*MI_CUPercent</f>
        <v>0</v>
      </c>
      <c r="C53">
        <v>0</v>
      </c>
      <c r="D53">
        <v>0</v>
      </c>
      <c r="E53">
        <f t="shared" si="0"/>
        <v>0</v>
      </c>
    </row>
    <row r="54" spans="1:5" ht="12.75">
      <c r="A54" s="2" t="str">
        <f>'NORTH FORK'!A26</f>
        <v>Non-Federal Reservoir Evaporation</v>
      </c>
      <c r="B54" s="2">
        <f>B26</f>
        <v>0</v>
      </c>
      <c r="C54">
        <v>0</v>
      </c>
      <c r="D54">
        <v>0</v>
      </c>
      <c r="E54">
        <f t="shared" si="0"/>
        <v>0</v>
      </c>
    </row>
    <row r="55" spans="1:5" ht="12.75">
      <c r="A55" s="2" t="str">
        <f>'NORTH FORK'!A27</f>
        <v>SW CBCU</v>
      </c>
      <c r="B55" s="74">
        <f>B51+B52+B53+B54</f>
        <v>0</v>
      </c>
      <c r="C55">
        <v>0</v>
      </c>
      <c r="D55">
        <v>0</v>
      </c>
      <c r="E55">
        <f t="shared" si="0"/>
        <v>0</v>
      </c>
    </row>
    <row r="56" spans="1:5" ht="12.75">
      <c r="A56" s="2" t="str">
        <f>'NORTH FORK'!A28</f>
        <v>GW CBCU</v>
      </c>
      <c r="B56" s="2">
        <f>+B8</f>
        <v>1372</v>
      </c>
      <c r="C56">
        <v>1347</v>
      </c>
      <c r="D56">
        <v>1202</v>
      </c>
      <c r="E56">
        <f t="shared" si="0"/>
        <v>1202</v>
      </c>
    </row>
    <row r="57" spans="1:5" ht="12.75">
      <c r="A57" s="2" t="str">
        <f>'NORTH FORK'!A29</f>
        <v>Total CBCU</v>
      </c>
      <c r="B57" s="4">
        <f>(ROUND(SUM(B55:B56),-1))</f>
        <v>1370</v>
      </c>
      <c r="C57">
        <v>1350</v>
      </c>
      <c r="D57">
        <v>1200</v>
      </c>
      <c r="E57">
        <f t="shared" si="0"/>
        <v>1200</v>
      </c>
    </row>
    <row r="58" spans="1:5" ht="12.75">
      <c r="A58" s="9" t="s">
        <v>81</v>
      </c>
      <c r="B58" s="2"/>
      <c r="E58">
        <f t="shared" si="0"/>
        <v>0</v>
      </c>
    </row>
    <row r="59" spans="1:5" ht="12.75">
      <c r="A59" s="5" t="s">
        <v>179</v>
      </c>
      <c r="B59" s="2"/>
      <c r="E59">
        <f t="shared" si="0"/>
        <v>0</v>
      </c>
    </row>
    <row r="60" spans="1:5" ht="12.75">
      <c r="A60" s="9" t="str">
        <f>'NORTH FORK'!A42</f>
        <v>Total SW CBCU</v>
      </c>
      <c r="B60" s="4">
        <f>+B37+B46+B55</f>
        <v>3998.5577083333337</v>
      </c>
      <c r="C60">
        <v>4001.85</v>
      </c>
      <c r="D60">
        <v>4231.33</v>
      </c>
      <c r="E60">
        <f t="shared" si="0"/>
        <v>4231.33</v>
      </c>
    </row>
    <row r="61" spans="1:5" ht="12.75">
      <c r="A61" s="9" t="str">
        <f>'NORTH FORK'!A43</f>
        <v>Total GW CBCU</v>
      </c>
      <c r="B61" s="4">
        <f>+B38+B47+B56</f>
        <v>23551</v>
      </c>
      <c r="C61">
        <v>18813</v>
      </c>
      <c r="D61">
        <v>19857</v>
      </c>
      <c r="E61">
        <f t="shared" si="0"/>
        <v>19857</v>
      </c>
    </row>
    <row r="62" spans="1:5" ht="12.75">
      <c r="A62" s="9" t="str">
        <f>'NORTH FORK'!A44</f>
        <v>Total Basin CBCU</v>
      </c>
      <c r="B62" s="4">
        <f>(ROUND(SUM(B60:B61),-1))</f>
        <v>27550</v>
      </c>
      <c r="C62">
        <v>22810</v>
      </c>
      <c r="D62">
        <v>24090</v>
      </c>
      <c r="E62">
        <f t="shared" si="0"/>
        <v>24090</v>
      </c>
    </row>
    <row r="63" spans="1:5" ht="12.75">
      <c r="A63" s="9" t="s">
        <v>81</v>
      </c>
      <c r="B63" s="2"/>
      <c r="E63">
        <f t="shared" si="0"/>
        <v>0</v>
      </c>
    </row>
    <row r="64" spans="1:5" ht="15.75">
      <c r="A64" s="11" t="s">
        <v>10</v>
      </c>
      <c r="B64" s="2"/>
      <c r="E64">
        <f t="shared" si="0"/>
        <v>0</v>
      </c>
    </row>
    <row r="65" spans="1:5" ht="12.75">
      <c r="A65" s="2" t="str">
        <f>A11</f>
        <v>South Fork Republican River Near Benkelman</v>
      </c>
      <c r="B65" s="4">
        <f>B11</f>
        <v>0</v>
      </c>
      <c r="C65">
        <v>905.35872</v>
      </c>
      <c r="D65">
        <v>0</v>
      </c>
      <c r="E65">
        <f t="shared" si="0"/>
        <v>0</v>
      </c>
    </row>
    <row r="66" spans="1:5" ht="12.75">
      <c r="A66" s="2" t="str">
        <f>'NORTH FORK'!A49</f>
        <v>Colorado CBCU</v>
      </c>
      <c r="B66" s="4">
        <f>+B39</f>
        <v>18660</v>
      </c>
      <c r="C66">
        <v>16090</v>
      </c>
      <c r="D66">
        <v>16800</v>
      </c>
      <c r="E66">
        <f t="shared" si="0"/>
        <v>16800</v>
      </c>
    </row>
    <row r="67" spans="1:5" ht="12.75">
      <c r="A67" s="2" t="str">
        <f>'NORTH FORK'!A50</f>
        <v>Kansas CBCU</v>
      </c>
      <c r="B67" s="4">
        <f>+B48</f>
        <v>7520</v>
      </c>
      <c r="C67">
        <v>5380</v>
      </c>
      <c r="D67">
        <v>6080</v>
      </c>
      <c r="E67">
        <f t="shared" si="0"/>
        <v>6080</v>
      </c>
    </row>
    <row r="68" spans="1:5" ht="12.75">
      <c r="A68" s="2" t="str">
        <f>'NORTH FORK'!A51</f>
        <v>Nebraska CBCU</v>
      </c>
      <c r="B68" s="4">
        <f>+B57</f>
        <v>1370</v>
      </c>
      <c r="C68">
        <v>1350</v>
      </c>
      <c r="D68">
        <v>1200</v>
      </c>
      <c r="E68">
        <f t="shared" si="0"/>
        <v>1200</v>
      </c>
    </row>
    <row r="69" spans="1:5" ht="12.75">
      <c r="A69" s="2" t="str">
        <f>A13</f>
        <v>Bonny Reservoir Change In Storage</v>
      </c>
      <c r="B69" s="2">
        <f>+B13</f>
        <v>-1500</v>
      </c>
      <c r="C69">
        <v>-2226</v>
      </c>
      <c r="D69">
        <v>-2900</v>
      </c>
      <c r="E69">
        <f t="shared" si="0"/>
        <v>-2900</v>
      </c>
    </row>
    <row r="70" spans="1:5" ht="12.75">
      <c r="A70" s="2" t="str">
        <f>'NORTH FORK'!A52</f>
        <v>Imported Water</v>
      </c>
      <c r="B70" s="16">
        <f>+B5</f>
        <v>0</v>
      </c>
      <c r="C70">
        <v>0</v>
      </c>
      <c r="D70">
        <v>0</v>
      </c>
      <c r="E70">
        <f t="shared" si="0"/>
        <v>0</v>
      </c>
    </row>
    <row r="71" spans="1:5" ht="12.75">
      <c r="A71" s="2" t="str">
        <f>'NORTH FORK'!A53</f>
        <v>Virgin Water Supply</v>
      </c>
      <c r="B71" s="4">
        <f>ROUND(SUM(B65:B69)-B70,-1)</f>
        <v>26050</v>
      </c>
      <c r="C71">
        <v>21500</v>
      </c>
      <c r="D71">
        <v>21180</v>
      </c>
      <c r="E71">
        <f aca="true" t="shared" si="1" ref="E71:E84">D71</f>
        <v>21180</v>
      </c>
    </row>
    <row r="72" spans="1:5" ht="12.75">
      <c r="A72" s="2" t="str">
        <f>'NORTH FORK'!A54</f>
        <v>Adjustment For Flood Flows</v>
      </c>
      <c r="B72" s="2">
        <f>B27</f>
        <v>0</v>
      </c>
      <c r="C72">
        <v>0</v>
      </c>
      <c r="D72">
        <v>0</v>
      </c>
      <c r="E72">
        <f t="shared" si="1"/>
        <v>0</v>
      </c>
    </row>
    <row r="73" spans="1:5" ht="12.75">
      <c r="A73" s="2" t="str">
        <f>'NORTH FORK'!A55</f>
        <v>Computed Water Supply</v>
      </c>
      <c r="B73" s="4">
        <f>ROUND(+B71-B72-B69,-1)</f>
        <v>27550</v>
      </c>
      <c r="C73">
        <v>23730</v>
      </c>
      <c r="D73">
        <v>24080</v>
      </c>
      <c r="E73">
        <f t="shared" si="1"/>
        <v>24080</v>
      </c>
    </row>
    <row r="74" spans="1:5" ht="12.75">
      <c r="A74" s="9" t="s">
        <v>81</v>
      </c>
      <c r="B74" s="2"/>
      <c r="E74">
        <f t="shared" si="1"/>
        <v>0</v>
      </c>
    </row>
    <row r="75" spans="1:5" ht="15.75">
      <c r="A75" s="11" t="s">
        <v>12</v>
      </c>
      <c r="B75" s="13"/>
      <c r="E75">
        <f t="shared" si="1"/>
        <v>0</v>
      </c>
    </row>
    <row r="76" spans="1:5" ht="12.75">
      <c r="A76" s="2" t="str">
        <f>'NORTH FORK'!A58</f>
        <v>Colorado Percent Of Allocation</v>
      </c>
      <c r="B76" s="15">
        <f>'T2'!D7</f>
        <v>0.444</v>
      </c>
      <c r="C76">
        <v>0.444</v>
      </c>
      <c r="D76">
        <v>0.444</v>
      </c>
      <c r="E76">
        <f t="shared" si="1"/>
        <v>0.444</v>
      </c>
    </row>
    <row r="77" spans="1:5" ht="12.75">
      <c r="A77" s="2" t="str">
        <f>'NORTH FORK'!A59</f>
        <v>Colorado Allocation</v>
      </c>
      <c r="B77" s="4">
        <f>ROUND(+B73*B76,-1)</f>
        <v>12230</v>
      </c>
      <c r="C77">
        <v>10540</v>
      </c>
      <c r="D77">
        <v>10690</v>
      </c>
      <c r="E77">
        <f t="shared" si="1"/>
        <v>10690</v>
      </c>
    </row>
    <row r="78" spans="1:5" ht="12.75">
      <c r="A78" s="2" t="str">
        <f>'NORTH FORK'!A60</f>
        <v>Kansas Percent Of Allocation</v>
      </c>
      <c r="B78" s="15">
        <f>'T2'!F7</f>
        <v>0.402</v>
      </c>
      <c r="C78">
        <v>0.402</v>
      </c>
      <c r="D78">
        <v>0.402</v>
      </c>
      <c r="E78">
        <f t="shared" si="1"/>
        <v>0.402</v>
      </c>
    </row>
    <row r="79" spans="1:5" ht="12.75">
      <c r="A79" s="2" t="str">
        <f>'NORTH FORK'!A61</f>
        <v>Kansas Allocation</v>
      </c>
      <c r="B79" s="4">
        <f>ROUND(B73*B78,-1)</f>
        <v>11080</v>
      </c>
      <c r="C79">
        <v>9540</v>
      </c>
      <c r="D79">
        <v>9680</v>
      </c>
      <c r="E79">
        <f t="shared" si="1"/>
        <v>9680</v>
      </c>
    </row>
    <row r="80" spans="1:5" ht="12.75">
      <c r="A80" s="2" t="str">
        <f>'NORTH FORK'!A62</f>
        <v>Nebraska Percent Of Allocation</v>
      </c>
      <c r="B80" s="15">
        <f>'T2'!H7</f>
        <v>0.014</v>
      </c>
      <c r="C80">
        <v>0.014</v>
      </c>
      <c r="D80">
        <v>0.014</v>
      </c>
      <c r="E80">
        <f t="shared" si="1"/>
        <v>0.014</v>
      </c>
    </row>
    <row r="81" spans="1:5" ht="12.75">
      <c r="A81" s="2" t="str">
        <f>'NORTH FORK'!A63</f>
        <v>Nebraska Allocation</v>
      </c>
      <c r="B81" s="4">
        <f>ROUND(B73*B80,-1)</f>
        <v>390</v>
      </c>
      <c r="C81">
        <v>330</v>
      </c>
      <c r="D81">
        <v>340</v>
      </c>
      <c r="E81">
        <f t="shared" si="1"/>
        <v>340</v>
      </c>
    </row>
    <row r="82" spans="1:5" ht="12.75">
      <c r="A82" s="2" t="str">
        <f>'NORTH FORK'!A64</f>
        <v>Total Basin Allocation</v>
      </c>
      <c r="B82" s="4">
        <f>+B77+B79+B81</f>
        <v>23700</v>
      </c>
      <c r="C82">
        <v>20410</v>
      </c>
      <c r="D82">
        <v>20710</v>
      </c>
      <c r="E82">
        <f t="shared" si="1"/>
        <v>20710</v>
      </c>
    </row>
    <row r="83" spans="1:5" ht="12.75">
      <c r="A83" s="2" t="str">
        <f>'NORTH FORK'!A65</f>
        <v>Percent Of Supply Not Allocated</v>
      </c>
      <c r="B83" s="15">
        <f>'T2'!J7</f>
        <v>0.14</v>
      </c>
      <c r="C83">
        <v>0.14</v>
      </c>
      <c r="D83">
        <v>0.14</v>
      </c>
      <c r="E83">
        <f t="shared" si="1"/>
        <v>0.14</v>
      </c>
    </row>
    <row r="84" spans="1:5" ht="12.75">
      <c r="A84" s="2" t="str">
        <f>'NORTH FORK'!A66</f>
        <v>Quantity Of Unallocated Supply</v>
      </c>
      <c r="B84" s="4">
        <f>+B73-B77-B79-B81</f>
        <v>3850</v>
      </c>
      <c r="C84">
        <v>3320</v>
      </c>
      <c r="D84">
        <v>3370</v>
      </c>
      <c r="E84">
        <f t="shared" si="1"/>
        <v>3370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1" max="2"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G78"/>
  <sheetViews>
    <sheetView workbookViewId="0" topLeftCell="A1">
      <selection activeCell="A1" sqref="A1"/>
    </sheetView>
  </sheetViews>
  <sheetFormatPr defaultColWidth="9.140625" defaultRowHeight="12.75"/>
  <cols>
    <col min="1" max="1" width="69.28125" style="0" customWidth="1"/>
    <col min="2" max="2" width="7.421875" style="0" customWidth="1"/>
  </cols>
  <sheetData>
    <row r="1" spans="1:7" ht="15.75">
      <c r="A1" s="59" t="s">
        <v>225</v>
      </c>
      <c r="B1">
        <f>INPUT!C1</f>
        <v>2005</v>
      </c>
      <c r="C1">
        <v>2003</v>
      </c>
      <c r="D1">
        <v>2004</v>
      </c>
      <c r="E1" s="309">
        <v>2005</v>
      </c>
      <c r="F1" s="309">
        <v>2006</v>
      </c>
      <c r="G1" s="309">
        <v>2007</v>
      </c>
    </row>
    <row r="2" ht="12.75"/>
    <row r="3" ht="15.75">
      <c r="A3" s="10" t="s">
        <v>174</v>
      </c>
    </row>
    <row r="4" ht="12.75">
      <c r="A4" s="8" t="s">
        <v>175</v>
      </c>
    </row>
    <row r="5" spans="1:5" ht="12.75">
      <c r="A5" s="52" t="str">
        <f>+INPUT!B51</f>
        <v>Imported Water Nebraska</v>
      </c>
      <c r="B5" s="52">
        <f>+INPUT!C51</f>
        <v>0</v>
      </c>
      <c r="C5">
        <v>0</v>
      </c>
      <c r="D5">
        <v>0</v>
      </c>
      <c r="E5">
        <f>D5</f>
        <v>0</v>
      </c>
    </row>
    <row r="6" spans="1:5" ht="12.75">
      <c r="A6" s="52" t="str">
        <f>INPUT!B19</f>
        <v>GW CBCU Colorado</v>
      </c>
      <c r="B6" s="52">
        <f>+INPUT!C19</f>
        <v>42</v>
      </c>
      <c r="C6">
        <v>37</v>
      </c>
      <c r="D6">
        <v>39</v>
      </c>
      <c r="E6">
        <f>D6</f>
        <v>39</v>
      </c>
    </row>
    <row r="7" spans="1:5" ht="12.75">
      <c r="A7" s="52" t="str">
        <f>+INPUT!B20</f>
        <v>GW CBCU Kansas</v>
      </c>
      <c r="B7" s="52">
        <f>+INPUT!C20</f>
        <v>0</v>
      </c>
      <c r="C7">
        <v>0</v>
      </c>
      <c r="D7">
        <v>0</v>
      </c>
      <c r="E7">
        <f aca="true" t="shared" si="0" ref="E7:E70">D7</f>
        <v>0</v>
      </c>
    </row>
    <row r="8" spans="1:5" ht="12" customHeight="1">
      <c r="A8" s="52" t="str">
        <f>+INPUT!B21</f>
        <v>GW CBCU Nebraska</v>
      </c>
      <c r="B8" s="52">
        <f>+INPUT!C21</f>
        <v>82719</v>
      </c>
      <c r="C8">
        <v>85647</v>
      </c>
      <c r="D8">
        <v>89727</v>
      </c>
      <c r="E8">
        <f t="shared" si="0"/>
        <v>89727</v>
      </c>
    </row>
    <row r="9" spans="1:5" ht="12" customHeight="1">
      <c r="A9" s="9" t="s">
        <v>81</v>
      </c>
      <c r="B9" s="9"/>
      <c r="E9">
        <f t="shared" si="0"/>
        <v>0</v>
      </c>
    </row>
    <row r="10" spans="1:5" ht="12.75">
      <c r="A10" s="5" t="s">
        <v>209</v>
      </c>
      <c r="B10" s="2"/>
      <c r="E10">
        <f t="shared" si="0"/>
        <v>0</v>
      </c>
    </row>
    <row r="11" spans="1:5" ht="12.75">
      <c r="A11" s="57" t="str">
        <f>+INPUT!B239</f>
        <v>Culbertson Canal % Return Flow</v>
      </c>
      <c r="B11" s="57">
        <f>+INPUT!C239</f>
        <v>0.7808994209082596</v>
      </c>
      <c r="C11">
        <v>0.56</v>
      </c>
      <c r="D11">
        <v>0.658467373760664</v>
      </c>
      <c r="E11">
        <f t="shared" si="0"/>
        <v>0.658467373760664</v>
      </c>
    </row>
    <row r="12" spans="1:5" ht="12.75">
      <c r="A12" s="57" t="str">
        <f>+INPUT!B240</f>
        <v>Culbertson Canal Extension % Return Flow</v>
      </c>
      <c r="B12" s="57">
        <f>+INPUT!C240</f>
        <v>1</v>
      </c>
      <c r="C12">
        <v>1</v>
      </c>
      <c r="D12">
        <v>1</v>
      </c>
      <c r="E12">
        <f t="shared" si="0"/>
        <v>1</v>
      </c>
    </row>
    <row r="13" spans="1:5" ht="12.75">
      <c r="A13" s="2" t="s">
        <v>81</v>
      </c>
      <c r="B13" s="2"/>
      <c r="E13">
        <f t="shared" si="0"/>
        <v>0</v>
      </c>
    </row>
    <row r="14" spans="1:5" ht="12.75">
      <c r="A14" s="5" t="s">
        <v>177</v>
      </c>
      <c r="B14" s="2"/>
      <c r="E14">
        <f t="shared" si="0"/>
        <v>0</v>
      </c>
    </row>
    <row r="15" spans="1:5" ht="12.75">
      <c r="A15" s="52" t="str">
        <f>+INPUT!B188</f>
        <v>Frenchman Creek At Culbertson</v>
      </c>
      <c r="B15" s="52">
        <f>+INPUT!C188</f>
        <v>23235</v>
      </c>
      <c r="C15">
        <v>13360</v>
      </c>
      <c r="D15">
        <v>19926</v>
      </c>
      <c r="E15">
        <f t="shared" si="0"/>
        <v>19926</v>
      </c>
    </row>
    <row r="16" spans="1:5" ht="12.75">
      <c r="A16" s="52" t="str">
        <f>+INPUT!B216</f>
        <v>Enders Reservoir Evaporation</v>
      </c>
      <c r="B16" s="52">
        <f>+INPUT!C216</f>
        <v>1247.6069166666668</v>
      </c>
      <c r="C16">
        <v>1485</v>
      </c>
      <c r="D16">
        <v>966.6</v>
      </c>
      <c r="E16">
        <f t="shared" si="0"/>
        <v>966.6</v>
      </c>
    </row>
    <row r="17" spans="1:5" ht="12.75">
      <c r="A17" s="52" t="str">
        <f>+INPUT!B217</f>
        <v>Enders Reservoir Change In Storage</v>
      </c>
      <c r="B17" s="52">
        <f>+INPUT!C217</f>
        <v>0</v>
      </c>
      <c r="C17">
        <v>-218</v>
      </c>
      <c r="D17">
        <v>300</v>
      </c>
      <c r="E17">
        <f t="shared" si="0"/>
        <v>300</v>
      </c>
    </row>
    <row r="18" spans="1:5" ht="12.75">
      <c r="A18" s="52" t="str">
        <f>+INPUT!B235</f>
        <v>Champion Canal Diversions</v>
      </c>
      <c r="B18" s="52">
        <f>+INPUT!C235</f>
        <v>0</v>
      </c>
      <c r="C18">
        <v>0</v>
      </c>
      <c r="D18">
        <v>0</v>
      </c>
      <c r="E18">
        <f t="shared" si="0"/>
        <v>0</v>
      </c>
    </row>
    <row r="19" spans="1:5" ht="12.75">
      <c r="A19" s="52" t="str">
        <f>+INPUT!B236</f>
        <v>Riverside Canal Diversions</v>
      </c>
      <c r="B19" s="52">
        <f>+INPUT!C236</f>
        <v>2096</v>
      </c>
      <c r="C19">
        <v>1838</v>
      </c>
      <c r="D19">
        <v>1443</v>
      </c>
      <c r="E19">
        <f t="shared" si="0"/>
        <v>1443</v>
      </c>
    </row>
    <row r="20" spans="1:5" ht="12.75">
      <c r="A20" s="52" t="str">
        <f>+INPUT!B237</f>
        <v>Culbertson Canal Diversions</v>
      </c>
      <c r="B20" s="52">
        <f>+INPUT!C237</f>
        <v>6562</v>
      </c>
      <c r="C20">
        <v>8002</v>
      </c>
      <c r="D20">
        <v>8674</v>
      </c>
      <c r="E20">
        <f t="shared" si="0"/>
        <v>8674</v>
      </c>
    </row>
    <row r="21" spans="1:5" ht="12.75">
      <c r="A21" s="52" t="str">
        <f>+INPUT!B238</f>
        <v>Culbertson Canal Extension Diversions</v>
      </c>
      <c r="B21" s="52">
        <f>+INPUT!C238</f>
        <v>0</v>
      </c>
      <c r="C21">
        <v>0</v>
      </c>
      <c r="D21">
        <v>0</v>
      </c>
      <c r="E21">
        <f t="shared" si="0"/>
        <v>0</v>
      </c>
    </row>
    <row r="22" spans="1:5" ht="12.75">
      <c r="A22" s="107" t="str">
        <f>+INPUT!B92</f>
        <v>SW Diversions - Irrigation - Non-Federal Canals - Nebraska</v>
      </c>
      <c r="B22" s="107">
        <f>+INPUT!C92</f>
        <v>0</v>
      </c>
      <c r="C22">
        <v>0</v>
      </c>
      <c r="D22">
        <v>0</v>
      </c>
      <c r="E22">
        <f t="shared" si="0"/>
        <v>0</v>
      </c>
    </row>
    <row r="23" spans="1:5" ht="12.75">
      <c r="A23" s="107" t="str">
        <f>+INPUT!B93</f>
        <v>SW Diversions - Irrigation - Small Pumps - Nebraska</v>
      </c>
      <c r="B23" s="107">
        <f>+INPUT!C93</f>
        <v>1.479</v>
      </c>
      <c r="C23">
        <v>3.09</v>
      </c>
      <c r="D23">
        <v>21</v>
      </c>
      <c r="E23">
        <f t="shared" si="0"/>
        <v>21</v>
      </c>
    </row>
    <row r="24" spans="1:5" ht="12.75">
      <c r="A24" s="107" t="str">
        <f>+INPUT!B94</f>
        <v>SW Diversions - M&amp;I - Nebraska</v>
      </c>
      <c r="B24" s="107">
        <f>+INPUT!C94</f>
        <v>0</v>
      </c>
      <c r="C24">
        <v>0</v>
      </c>
      <c r="D24">
        <v>0</v>
      </c>
      <c r="E24">
        <f t="shared" si="0"/>
        <v>0</v>
      </c>
    </row>
    <row r="25" spans="1:5" ht="12.75">
      <c r="A25" s="107" t="str">
        <f>+INPUT!B163</f>
        <v>Non-Federal Reservoir Evaporation - Nebraska</v>
      </c>
      <c r="B25" s="107">
        <f>+INPUT!C163</f>
        <v>134.8</v>
      </c>
      <c r="C25">
        <v>0</v>
      </c>
      <c r="D25">
        <v>244.1</v>
      </c>
      <c r="E25">
        <f t="shared" si="0"/>
        <v>244.1</v>
      </c>
    </row>
    <row r="26" spans="1:5" ht="12.75">
      <c r="A26" s="107" t="str">
        <f>+INPUT!B204</f>
        <v>Frenchman Flood Flow</v>
      </c>
      <c r="B26" s="107">
        <f>+INPUT!C204</f>
        <v>0</v>
      </c>
      <c r="C26">
        <v>0</v>
      </c>
      <c r="D26">
        <v>0</v>
      </c>
      <c r="E26">
        <f t="shared" si="0"/>
        <v>0</v>
      </c>
    </row>
    <row r="27" spans="1:5" ht="12.75">
      <c r="A27" s="122" t="s">
        <v>81</v>
      </c>
      <c r="B27" s="16"/>
      <c r="E27">
        <f t="shared" si="0"/>
        <v>0</v>
      </c>
    </row>
    <row r="28" spans="1:5" ht="15.75">
      <c r="A28" s="10" t="s">
        <v>258</v>
      </c>
      <c r="B28" s="16"/>
      <c r="E28">
        <f t="shared" si="0"/>
        <v>0</v>
      </c>
    </row>
    <row r="29" spans="1:5" ht="12.75">
      <c r="A29" s="8" t="s">
        <v>0</v>
      </c>
      <c r="B29" s="16"/>
      <c r="E29">
        <f t="shared" si="0"/>
        <v>0</v>
      </c>
    </row>
    <row r="30" spans="1:5" ht="12.75">
      <c r="A30" s="16" t="str">
        <f>'NORTH FORK'!A28</f>
        <v>GW CBCU</v>
      </c>
      <c r="B30" s="16">
        <f>+B6</f>
        <v>42</v>
      </c>
      <c r="C30">
        <v>37</v>
      </c>
      <c r="D30">
        <v>39</v>
      </c>
      <c r="E30">
        <f t="shared" si="0"/>
        <v>39</v>
      </c>
    </row>
    <row r="31" spans="1:5" ht="12.75">
      <c r="A31" s="16" t="str">
        <f>'NORTH FORK'!A29</f>
        <v>Total CBCU</v>
      </c>
      <c r="B31" s="73">
        <f>(ROUND(SUM(B30:B30),-1))</f>
        <v>40</v>
      </c>
      <c r="C31">
        <v>40</v>
      </c>
      <c r="D31">
        <v>40</v>
      </c>
      <c r="E31">
        <f t="shared" si="0"/>
        <v>40</v>
      </c>
    </row>
    <row r="32" spans="1:5" ht="12.75">
      <c r="A32" s="16" t="s">
        <v>81</v>
      </c>
      <c r="B32" s="16"/>
      <c r="E32">
        <f t="shared" si="0"/>
        <v>0</v>
      </c>
    </row>
    <row r="33" spans="1:5" ht="12.75">
      <c r="A33" s="8" t="s">
        <v>178</v>
      </c>
      <c r="B33" s="16"/>
      <c r="E33">
        <f t="shared" si="0"/>
        <v>0</v>
      </c>
    </row>
    <row r="34" spans="1:5" ht="12.75">
      <c r="A34" s="16" t="str">
        <f>'NORTH FORK'!A28</f>
        <v>GW CBCU</v>
      </c>
      <c r="B34" s="16">
        <f>+B7</f>
        <v>0</v>
      </c>
      <c r="C34">
        <v>0</v>
      </c>
      <c r="D34">
        <v>0</v>
      </c>
      <c r="E34">
        <f t="shared" si="0"/>
        <v>0</v>
      </c>
    </row>
    <row r="35" spans="1:5" ht="12.75">
      <c r="A35" s="16" t="str">
        <f>'NORTH FORK'!A29</f>
        <v>Total CBCU</v>
      </c>
      <c r="B35" s="73">
        <f>(ROUND(SUM(B34:B34),-1))</f>
        <v>0</v>
      </c>
      <c r="C35">
        <v>0</v>
      </c>
      <c r="D35">
        <v>0</v>
      </c>
      <c r="E35">
        <f t="shared" si="0"/>
        <v>0</v>
      </c>
    </row>
    <row r="36" spans="1:5" ht="12.75">
      <c r="A36" s="16" t="s">
        <v>81</v>
      </c>
      <c r="B36" s="16"/>
      <c r="E36">
        <f t="shared" si="0"/>
        <v>0</v>
      </c>
    </row>
    <row r="37" spans="1:5" ht="12.75">
      <c r="A37" s="8" t="s">
        <v>1</v>
      </c>
      <c r="B37" s="16"/>
      <c r="E37">
        <f t="shared" si="0"/>
        <v>0</v>
      </c>
    </row>
    <row r="38" spans="1:5" ht="12.75">
      <c r="A38" s="16" t="str">
        <f>(LEFT(A18,14))&amp;" "&amp;"CBCU"</f>
        <v>Champion Canal CBCU</v>
      </c>
      <c r="B38" s="16">
        <f>+B18*CanalCUPercent</f>
        <v>0</v>
      </c>
      <c r="C38">
        <v>0</v>
      </c>
      <c r="D38">
        <v>0</v>
      </c>
      <c r="E38">
        <f t="shared" si="0"/>
        <v>0</v>
      </c>
    </row>
    <row r="39" spans="1:5" ht="12.75">
      <c r="A39" s="16" t="str">
        <f>(LEFT(A19,15))&amp;" "&amp;"CBCU"</f>
        <v>Riverside Canal CBCU</v>
      </c>
      <c r="B39" s="16">
        <f>+B19*CanalCUPercent</f>
        <v>1257.6</v>
      </c>
      <c r="C39">
        <v>1102.8</v>
      </c>
      <c r="D39">
        <v>865.8</v>
      </c>
      <c r="E39">
        <f t="shared" si="0"/>
        <v>865.8</v>
      </c>
    </row>
    <row r="40" spans="1:5" ht="12.75">
      <c r="A40" s="16" t="str">
        <f>(LEFT(A20,16))&amp;" "&amp;"CBCU"</f>
        <v>Culbertson Canal CBCU</v>
      </c>
      <c r="B40" s="16">
        <f>+B20*(1-B11)</f>
        <v>1437.7380000000005</v>
      </c>
      <c r="C40">
        <v>3520.88</v>
      </c>
      <c r="D40">
        <v>2962.4540000000006</v>
      </c>
      <c r="E40">
        <f t="shared" si="0"/>
        <v>2962.4540000000006</v>
      </c>
    </row>
    <row r="41" spans="1:5" ht="12.75">
      <c r="A41" s="16" t="str">
        <f>(LEFT(A21,27))&amp;" "&amp;"CBCU"</f>
        <v>Culbertson Canal Extension  CBCU</v>
      </c>
      <c r="B41" s="98">
        <f>+B21*(1-B12)</f>
        <v>0</v>
      </c>
      <c r="C41">
        <v>0</v>
      </c>
      <c r="D41">
        <v>0</v>
      </c>
      <c r="E41">
        <f t="shared" si="0"/>
        <v>0</v>
      </c>
    </row>
    <row r="42" spans="1:5" ht="12.75">
      <c r="A42" s="73" t="str">
        <f>'NORTH FORK'!A23</f>
        <v>SW CBCU - Irrigation - Non Federal Canals</v>
      </c>
      <c r="B42" s="123">
        <f>B22*CanalCUPercent</f>
        <v>0</v>
      </c>
      <c r="C42">
        <v>0</v>
      </c>
      <c r="D42">
        <v>0</v>
      </c>
      <c r="E42">
        <f t="shared" si="0"/>
        <v>0</v>
      </c>
    </row>
    <row r="43" spans="1:5" ht="12.75">
      <c r="A43" s="73" t="str">
        <f>'NORTH FORK'!A24</f>
        <v>SW CBCU - Irrigation - Small Pumps</v>
      </c>
      <c r="B43" s="123">
        <f>B23*PumperCUPercent</f>
        <v>1.10925</v>
      </c>
      <c r="C43">
        <v>2.3175</v>
      </c>
      <c r="D43">
        <v>15.75</v>
      </c>
      <c r="E43">
        <f t="shared" si="0"/>
        <v>15.75</v>
      </c>
    </row>
    <row r="44" spans="1:5" ht="12.75">
      <c r="A44" s="73" t="str">
        <f>'NORTH FORK'!A25</f>
        <v>SW CBCU - M&amp;I</v>
      </c>
      <c r="B44" s="98">
        <f>B24*MI_CUPercent</f>
        <v>0</v>
      </c>
      <c r="C44">
        <v>0</v>
      </c>
      <c r="D44">
        <v>0</v>
      </c>
      <c r="E44">
        <f t="shared" si="0"/>
        <v>0</v>
      </c>
    </row>
    <row r="45" spans="1:5" ht="12.75">
      <c r="A45" s="16" t="str">
        <f>A16</f>
        <v>Enders Reservoir Evaporation</v>
      </c>
      <c r="B45" s="73">
        <f>+B16</f>
        <v>1247.6069166666668</v>
      </c>
      <c r="C45">
        <v>1485</v>
      </c>
      <c r="D45">
        <v>966.6</v>
      </c>
      <c r="E45">
        <f t="shared" si="0"/>
        <v>966.6</v>
      </c>
    </row>
    <row r="46" spans="1:5" ht="12.75">
      <c r="A46" s="98" t="str">
        <f>'NORTH FORK'!A26</f>
        <v>Non-Federal Reservoir Evaporation</v>
      </c>
      <c r="B46" s="16">
        <f>B25</f>
        <v>134.8</v>
      </c>
      <c r="C46">
        <v>0</v>
      </c>
      <c r="D46">
        <v>244.1</v>
      </c>
      <c r="E46">
        <f t="shared" si="0"/>
        <v>244.1</v>
      </c>
    </row>
    <row r="47" spans="1:5" ht="12.75">
      <c r="A47" s="98" t="str">
        <f>'NORTH FORK'!A27</f>
        <v>SW CBCU</v>
      </c>
      <c r="B47" s="123">
        <f>SUM(B38:B44)+SUM(B45:B46)</f>
        <v>4078.8541666666674</v>
      </c>
      <c r="C47">
        <v>6110.9974999999995</v>
      </c>
      <c r="D47">
        <v>5054.704000000001</v>
      </c>
      <c r="E47">
        <f t="shared" si="0"/>
        <v>5054.704000000001</v>
      </c>
    </row>
    <row r="48" spans="1:5" ht="12.75">
      <c r="A48" s="98" t="str">
        <f>'NORTH FORK'!A28</f>
        <v>GW CBCU</v>
      </c>
      <c r="B48" s="16">
        <f>+B8</f>
        <v>82719</v>
      </c>
      <c r="C48">
        <v>85647</v>
      </c>
      <c r="D48">
        <v>89727</v>
      </c>
      <c r="E48">
        <f t="shared" si="0"/>
        <v>89727</v>
      </c>
    </row>
    <row r="49" spans="1:5" ht="12.75">
      <c r="A49" s="98" t="str">
        <f>'NORTH FORK'!A29</f>
        <v>Total CBCU</v>
      </c>
      <c r="B49" s="73">
        <f>(ROUND(SUM(B47:B48),-1))</f>
        <v>86800</v>
      </c>
      <c r="C49">
        <v>91760</v>
      </c>
      <c r="D49">
        <v>94780</v>
      </c>
      <c r="E49">
        <f t="shared" si="0"/>
        <v>94780</v>
      </c>
    </row>
    <row r="50" spans="1:5" ht="12.75">
      <c r="A50" s="98" t="s">
        <v>81</v>
      </c>
      <c r="B50" s="16"/>
      <c r="E50">
        <f t="shared" si="0"/>
        <v>0</v>
      </c>
    </row>
    <row r="51" spans="1:5" ht="12.75">
      <c r="A51" s="5" t="s">
        <v>179</v>
      </c>
      <c r="B51" s="16"/>
      <c r="E51">
        <f t="shared" si="0"/>
        <v>0</v>
      </c>
    </row>
    <row r="52" spans="1:5" ht="12.75">
      <c r="A52" s="98" t="str">
        <f>'NORTH FORK'!A42</f>
        <v>Total SW CBCU</v>
      </c>
      <c r="B52" s="73">
        <f>B47</f>
        <v>4078.8541666666674</v>
      </c>
      <c r="C52">
        <v>6110.9974999999995</v>
      </c>
      <c r="D52">
        <v>5054.704000000001</v>
      </c>
      <c r="E52">
        <f t="shared" si="0"/>
        <v>5054.704000000001</v>
      </c>
    </row>
    <row r="53" spans="1:5" ht="12.75">
      <c r="A53" s="98" t="str">
        <f>'NORTH FORK'!A43</f>
        <v>Total GW CBCU</v>
      </c>
      <c r="B53" s="73">
        <f>+B30+B34+B48</f>
        <v>82761</v>
      </c>
      <c r="C53">
        <v>85684</v>
      </c>
      <c r="D53">
        <v>89766</v>
      </c>
      <c r="E53">
        <f t="shared" si="0"/>
        <v>89766</v>
      </c>
    </row>
    <row r="54" spans="1:5" ht="12.75">
      <c r="A54" s="98" t="str">
        <f>'NORTH FORK'!A44</f>
        <v>Total Basin CBCU</v>
      </c>
      <c r="B54" s="73">
        <f>(ROUND(SUM(B52:B53),-1))</f>
        <v>86840</v>
      </c>
      <c r="C54">
        <v>91790</v>
      </c>
      <c r="D54">
        <v>94820</v>
      </c>
      <c r="E54">
        <f t="shared" si="0"/>
        <v>94820</v>
      </c>
    </row>
    <row r="55" spans="1:5" ht="12.75">
      <c r="A55" s="98" t="s">
        <v>81</v>
      </c>
      <c r="B55" s="16"/>
      <c r="E55">
        <f t="shared" si="0"/>
        <v>0</v>
      </c>
    </row>
    <row r="56" spans="1:5" ht="15.75">
      <c r="A56" s="11" t="s">
        <v>10</v>
      </c>
      <c r="B56" s="16"/>
      <c r="E56">
        <f t="shared" si="0"/>
        <v>0</v>
      </c>
    </row>
    <row r="57" spans="1:5" ht="12.75">
      <c r="A57" s="16" t="str">
        <f>A15</f>
        <v>Frenchman Creek At Culbertson</v>
      </c>
      <c r="B57" s="73">
        <f>B15</f>
        <v>23235</v>
      </c>
      <c r="C57">
        <v>13360</v>
      </c>
      <c r="D57">
        <v>19926</v>
      </c>
      <c r="E57">
        <f t="shared" si="0"/>
        <v>19926</v>
      </c>
    </row>
    <row r="58" spans="1:5" ht="12.75">
      <c r="A58" s="16" t="s">
        <v>445</v>
      </c>
      <c r="B58" s="73">
        <f>0.17*(B20*B11)</f>
        <v>871.12454</v>
      </c>
      <c r="C58">
        <v>761.7904000000002</v>
      </c>
      <c r="D58">
        <v>970.96282</v>
      </c>
      <c r="E58">
        <f t="shared" si="0"/>
        <v>970.96282</v>
      </c>
    </row>
    <row r="59" spans="1:5" ht="12.75">
      <c r="A59" s="16" t="s">
        <v>446</v>
      </c>
      <c r="B59" s="73">
        <f>B21*B12</f>
        <v>0</v>
      </c>
      <c r="C59">
        <v>0</v>
      </c>
      <c r="D59">
        <v>0</v>
      </c>
      <c r="E59">
        <f t="shared" si="0"/>
        <v>0</v>
      </c>
    </row>
    <row r="60" spans="1:5" ht="12.75">
      <c r="A60" s="16" t="str">
        <f>'NORTH FORK'!A49</f>
        <v>Colorado CBCU</v>
      </c>
      <c r="B60" s="73">
        <f>+B31</f>
        <v>40</v>
      </c>
      <c r="C60">
        <v>40</v>
      </c>
      <c r="D60">
        <v>40</v>
      </c>
      <c r="E60">
        <f t="shared" si="0"/>
        <v>40</v>
      </c>
    </row>
    <row r="61" spans="1:5" ht="12.75">
      <c r="A61" s="16" t="str">
        <f>'NORTH FORK'!A50</f>
        <v>Kansas CBCU</v>
      </c>
      <c r="B61" s="73">
        <f>+B35</f>
        <v>0</v>
      </c>
      <c r="C61">
        <v>0</v>
      </c>
      <c r="D61">
        <v>0</v>
      </c>
      <c r="E61">
        <f t="shared" si="0"/>
        <v>0</v>
      </c>
    </row>
    <row r="62" spans="1:5" ht="12.75">
      <c r="A62" s="16" t="str">
        <f>'NORTH FORK'!A51</f>
        <v>Nebraska CBCU</v>
      </c>
      <c r="B62" s="73">
        <f>+B49</f>
        <v>86800</v>
      </c>
      <c r="C62">
        <v>91760</v>
      </c>
      <c r="D62">
        <v>94780</v>
      </c>
      <c r="E62">
        <f t="shared" si="0"/>
        <v>94780</v>
      </c>
    </row>
    <row r="63" spans="1:5" ht="12.75">
      <c r="A63" s="16" t="str">
        <f>A17</f>
        <v>Enders Reservoir Change In Storage</v>
      </c>
      <c r="B63" s="16">
        <f>+B17</f>
        <v>0</v>
      </c>
      <c r="C63">
        <v>-218</v>
      </c>
      <c r="D63">
        <v>300</v>
      </c>
      <c r="E63">
        <f t="shared" si="0"/>
        <v>300</v>
      </c>
    </row>
    <row r="64" spans="1:5" ht="12.75">
      <c r="A64" s="16" t="str">
        <f>'NORTH FORK'!A52</f>
        <v>Imported Water</v>
      </c>
      <c r="B64" s="16">
        <f>B5</f>
        <v>0</v>
      </c>
      <c r="C64">
        <v>0</v>
      </c>
      <c r="D64">
        <v>0</v>
      </c>
      <c r="E64">
        <f t="shared" si="0"/>
        <v>0</v>
      </c>
    </row>
    <row r="65" spans="1:5" ht="12.75">
      <c r="A65" s="16" t="str">
        <f>'NORTH FORK'!A53</f>
        <v>Virgin Water Supply</v>
      </c>
      <c r="B65" s="73">
        <f>ROUND(SUM(B57:B63)-B64,-1)</f>
        <v>110950</v>
      </c>
      <c r="C65">
        <v>105700</v>
      </c>
      <c r="D65">
        <v>116020</v>
      </c>
      <c r="E65">
        <f t="shared" si="0"/>
        <v>116020</v>
      </c>
    </row>
    <row r="66" spans="1:5" ht="12.75">
      <c r="A66" s="16" t="str">
        <f>'NORTH FORK'!A54</f>
        <v>Adjustment For Flood Flows</v>
      </c>
      <c r="B66" s="16">
        <f>B26</f>
        <v>0</v>
      </c>
      <c r="C66">
        <v>0</v>
      </c>
      <c r="D66">
        <v>0</v>
      </c>
      <c r="E66">
        <f t="shared" si="0"/>
        <v>0</v>
      </c>
    </row>
    <row r="67" spans="1:5" ht="12.75">
      <c r="A67" s="16" t="str">
        <f>'NORTH FORK'!A55</f>
        <v>Computed Water Supply</v>
      </c>
      <c r="B67" s="73">
        <f>ROUND(+B65-B66-B63,-1)</f>
        <v>110950</v>
      </c>
      <c r="C67">
        <v>105920</v>
      </c>
      <c r="D67">
        <v>115720</v>
      </c>
      <c r="E67">
        <f t="shared" si="0"/>
        <v>115720</v>
      </c>
    </row>
    <row r="68" spans="1:5" ht="12.75">
      <c r="A68" s="98" t="s">
        <v>81</v>
      </c>
      <c r="B68" s="16"/>
      <c r="E68">
        <f t="shared" si="0"/>
        <v>0</v>
      </c>
    </row>
    <row r="69" spans="1:5" ht="15.75">
      <c r="A69" s="11" t="s">
        <v>12</v>
      </c>
      <c r="B69" s="13"/>
      <c r="E69">
        <f t="shared" si="0"/>
        <v>0</v>
      </c>
    </row>
    <row r="70" spans="1:5" ht="12.75">
      <c r="A70" s="16" t="str">
        <f>'NORTH FORK'!A58</f>
        <v>Colorado Percent Of Allocation</v>
      </c>
      <c r="B70" s="126">
        <f>'T2'!D8</f>
        <v>0</v>
      </c>
      <c r="C70">
        <v>0</v>
      </c>
      <c r="D70">
        <v>0</v>
      </c>
      <c r="E70">
        <f t="shared" si="0"/>
        <v>0</v>
      </c>
    </row>
    <row r="71" spans="1:5" ht="12.75">
      <c r="A71" s="16" t="str">
        <f>'NORTH FORK'!A59</f>
        <v>Colorado Allocation</v>
      </c>
      <c r="B71" s="73">
        <f>ROUND(+B67*B70,-1)</f>
        <v>0</v>
      </c>
      <c r="C71">
        <v>0</v>
      </c>
      <c r="D71">
        <v>0</v>
      </c>
      <c r="E71">
        <f aca="true" t="shared" si="1" ref="E71:E78">D71</f>
        <v>0</v>
      </c>
    </row>
    <row r="72" spans="1:5" ht="12.75">
      <c r="A72" s="16" t="str">
        <f>'NORTH FORK'!A60</f>
        <v>Kansas Percent Of Allocation</v>
      </c>
      <c r="B72" s="126">
        <f>'T2'!F8</f>
        <v>0</v>
      </c>
      <c r="C72">
        <v>0</v>
      </c>
      <c r="D72">
        <v>0</v>
      </c>
      <c r="E72">
        <f t="shared" si="1"/>
        <v>0</v>
      </c>
    </row>
    <row r="73" spans="1:5" ht="12.75">
      <c r="A73" s="2" t="str">
        <f>'NORTH FORK'!A61</f>
        <v>Kansas Allocation</v>
      </c>
      <c r="B73" s="4">
        <f>ROUND(B67*B72,-1)</f>
        <v>0</v>
      </c>
      <c r="C73">
        <v>0</v>
      </c>
      <c r="D73">
        <v>0</v>
      </c>
      <c r="E73">
        <f t="shared" si="1"/>
        <v>0</v>
      </c>
    </row>
    <row r="74" spans="1:5" ht="12.75">
      <c r="A74" s="2" t="str">
        <f>'NORTH FORK'!A62</f>
        <v>Nebraska Percent Of Allocation</v>
      </c>
      <c r="B74" s="15">
        <f>'T2'!H8</f>
        <v>0.536</v>
      </c>
      <c r="C74">
        <v>0.536</v>
      </c>
      <c r="D74">
        <v>0.536</v>
      </c>
      <c r="E74">
        <f t="shared" si="1"/>
        <v>0.536</v>
      </c>
    </row>
    <row r="75" spans="1:5" ht="12.75">
      <c r="A75" s="2" t="str">
        <f>'NORTH FORK'!A63</f>
        <v>Nebraska Allocation</v>
      </c>
      <c r="B75" s="4">
        <f>ROUND(B67*B74,-1)</f>
        <v>59470</v>
      </c>
      <c r="C75">
        <v>56770</v>
      </c>
      <c r="D75">
        <v>62030</v>
      </c>
      <c r="E75">
        <f t="shared" si="1"/>
        <v>62030</v>
      </c>
    </row>
    <row r="76" spans="1:5" ht="12.75">
      <c r="A76" s="2" t="str">
        <f>'NORTH FORK'!A64</f>
        <v>Total Basin Allocation</v>
      </c>
      <c r="B76" s="4">
        <f>+B71+B73+B75</f>
        <v>59470</v>
      </c>
      <c r="C76">
        <v>56770</v>
      </c>
      <c r="D76">
        <v>62030</v>
      </c>
      <c r="E76">
        <f t="shared" si="1"/>
        <v>62030</v>
      </c>
    </row>
    <row r="77" spans="1:5" ht="12.75">
      <c r="A77" s="2" t="str">
        <f>'NORTH FORK'!A65</f>
        <v>Percent Of Supply Not Allocated</v>
      </c>
      <c r="B77" s="15">
        <f>'T2'!J8</f>
        <v>0.464</v>
      </c>
      <c r="C77">
        <v>0.464</v>
      </c>
      <c r="D77">
        <v>0.464</v>
      </c>
      <c r="E77">
        <f t="shared" si="1"/>
        <v>0.464</v>
      </c>
    </row>
    <row r="78" spans="1:5" ht="12.75">
      <c r="A78" s="2" t="str">
        <f>'NORTH FORK'!A66</f>
        <v>Quantity Of Unallocated Supply</v>
      </c>
      <c r="B78" s="4">
        <f>+B67-B71-B73-B75</f>
        <v>51480</v>
      </c>
      <c r="C78">
        <v>49150</v>
      </c>
      <c r="D78">
        <v>53690</v>
      </c>
      <c r="E78">
        <f t="shared" si="1"/>
        <v>53690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9" max="2"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G74"/>
  <sheetViews>
    <sheetView workbookViewId="0" topLeftCell="A1">
      <selection activeCell="A1" sqref="A1"/>
    </sheetView>
  </sheetViews>
  <sheetFormatPr defaultColWidth="9.140625" defaultRowHeight="12.75"/>
  <cols>
    <col min="1" max="1" width="69.28125" style="0" customWidth="1"/>
    <col min="2" max="2" width="7.7109375" style="0" customWidth="1"/>
  </cols>
  <sheetData>
    <row r="1" spans="1:7" ht="15.75">
      <c r="A1" s="59" t="s">
        <v>223</v>
      </c>
      <c r="B1">
        <f>INPUT!C1</f>
        <v>2005</v>
      </c>
      <c r="C1">
        <v>2003</v>
      </c>
      <c r="D1">
        <v>2004</v>
      </c>
      <c r="E1" s="309">
        <v>2005</v>
      </c>
      <c r="F1" s="309">
        <v>2006</v>
      </c>
      <c r="G1" s="309">
        <v>2007</v>
      </c>
    </row>
    <row r="2" ht="12.75"/>
    <row r="3" ht="15.75">
      <c r="A3" s="10" t="s">
        <v>174</v>
      </c>
    </row>
    <row r="4" ht="12.75">
      <c r="A4" s="8" t="s">
        <v>175</v>
      </c>
    </row>
    <row r="5" spans="1:5" ht="12.75">
      <c r="A5" s="52" t="str">
        <f>+INPUT!B52</f>
        <v>Imported Water Nebraska</v>
      </c>
      <c r="B5" s="52">
        <f>+INPUT!C52</f>
        <v>0</v>
      </c>
      <c r="C5">
        <v>0</v>
      </c>
      <c r="D5">
        <v>0</v>
      </c>
      <c r="E5">
        <f>D5</f>
        <v>0</v>
      </c>
    </row>
    <row r="6" spans="1:5" ht="12.75">
      <c r="A6" s="52" t="str">
        <f>+INPUT!B22</f>
        <v>GW CBCU Colorado</v>
      </c>
      <c r="B6" s="52">
        <f>+INPUT!C22</f>
        <v>0</v>
      </c>
      <c r="C6">
        <v>0</v>
      </c>
      <c r="D6">
        <v>0</v>
      </c>
      <c r="E6">
        <f>D6</f>
        <v>0</v>
      </c>
    </row>
    <row r="7" spans="1:5" ht="12.75">
      <c r="A7" s="52" t="str">
        <f>+INPUT!B23</f>
        <v>GW CBCU Kansas</v>
      </c>
      <c r="B7" s="52">
        <f>+INPUT!C23</f>
        <v>0</v>
      </c>
      <c r="C7">
        <v>0</v>
      </c>
      <c r="D7">
        <v>0</v>
      </c>
      <c r="E7">
        <f aca="true" t="shared" si="0" ref="E7:E70">D7</f>
        <v>0</v>
      </c>
    </row>
    <row r="8" spans="1:5" ht="12" customHeight="1">
      <c r="A8" s="52" t="str">
        <f>+INPUT!B24</f>
        <v>GW CBCU Nebraska</v>
      </c>
      <c r="B8" s="52">
        <f>+INPUT!C24</f>
        <v>1481</v>
      </c>
      <c r="C8">
        <v>1391</v>
      </c>
      <c r="D8">
        <v>1479</v>
      </c>
      <c r="E8">
        <f t="shared" si="0"/>
        <v>1479</v>
      </c>
    </row>
    <row r="9" spans="1:5" ht="12.75">
      <c r="A9" s="2" t="s">
        <v>81</v>
      </c>
      <c r="B9" s="2"/>
      <c r="E9">
        <f t="shared" si="0"/>
        <v>0</v>
      </c>
    </row>
    <row r="10" spans="1:5" ht="12.75">
      <c r="A10" s="5" t="s">
        <v>209</v>
      </c>
      <c r="B10" s="2"/>
      <c r="E10">
        <f t="shared" si="0"/>
        <v>0</v>
      </c>
    </row>
    <row r="11" spans="1:5" ht="12.75">
      <c r="A11" s="57" t="str">
        <f>+INPUT!B242</f>
        <v>Meeker-Driftwood Canal % Return Flow</v>
      </c>
      <c r="B11" s="57">
        <f>+INPUT!C242</f>
        <v>1</v>
      </c>
      <c r="C11">
        <v>1</v>
      </c>
      <c r="D11">
        <v>1</v>
      </c>
      <c r="E11">
        <f t="shared" si="0"/>
        <v>1</v>
      </c>
    </row>
    <row r="12" spans="1:5" ht="12.75">
      <c r="A12" s="2" t="s">
        <v>81</v>
      </c>
      <c r="B12" s="2"/>
      <c r="E12">
        <f t="shared" si="0"/>
        <v>0</v>
      </c>
    </row>
    <row r="13" spans="1:5" ht="12.75">
      <c r="A13" s="5" t="s">
        <v>177</v>
      </c>
      <c r="B13" s="2"/>
      <c r="E13">
        <f t="shared" si="0"/>
        <v>0</v>
      </c>
    </row>
    <row r="14" spans="1:5" ht="12.75">
      <c r="A14" s="52" t="str">
        <f>+INPUT!B189</f>
        <v>Driftwood Creek Near McCook</v>
      </c>
      <c r="B14" s="52">
        <f>+INPUT!C189</f>
        <v>1911</v>
      </c>
      <c r="C14">
        <v>1100</v>
      </c>
      <c r="D14">
        <v>1201</v>
      </c>
      <c r="E14">
        <f t="shared" si="0"/>
        <v>1201</v>
      </c>
    </row>
    <row r="15" spans="1:5" ht="12.75">
      <c r="A15" s="52" t="str">
        <f>+INPUT!B95</f>
        <v>SW Diversions - Irrigation - Non-Federal Canals- Kansas</v>
      </c>
      <c r="B15" s="52">
        <f>+INPUT!C95</f>
        <v>0</v>
      </c>
      <c r="C15">
        <v>0</v>
      </c>
      <c r="D15">
        <v>0</v>
      </c>
      <c r="E15">
        <f t="shared" si="0"/>
        <v>0</v>
      </c>
    </row>
    <row r="16" spans="1:5" ht="12.75">
      <c r="A16" s="52" t="str">
        <f>+INPUT!B96</f>
        <v>SW Diversions - Irrigation - Small Pumps - Kansas</v>
      </c>
      <c r="B16" s="52">
        <f>+INPUT!C96</f>
        <v>0</v>
      </c>
      <c r="C16">
        <v>0</v>
      </c>
      <c r="D16">
        <v>0</v>
      </c>
      <c r="E16">
        <f t="shared" si="0"/>
        <v>0</v>
      </c>
    </row>
    <row r="17" spans="1:5" ht="12.75">
      <c r="A17" s="52" t="str">
        <f>+INPUT!B97</f>
        <v>SW Diversions - M&amp;I - Kansas</v>
      </c>
      <c r="B17" s="52">
        <f>+INPUT!C97</f>
        <v>0</v>
      </c>
      <c r="C17">
        <v>0</v>
      </c>
      <c r="D17">
        <v>0</v>
      </c>
      <c r="E17">
        <f t="shared" si="0"/>
        <v>0</v>
      </c>
    </row>
    <row r="18" spans="1:5" ht="12.75">
      <c r="A18" s="52" t="str">
        <f>+INPUT!B241</f>
        <v>Meeker-Driftwood Canal Diversions</v>
      </c>
      <c r="B18" s="52">
        <f>+INPUT!C241</f>
        <v>0</v>
      </c>
      <c r="C18">
        <v>0</v>
      </c>
      <c r="D18">
        <v>0</v>
      </c>
      <c r="E18">
        <f t="shared" si="0"/>
        <v>0</v>
      </c>
    </row>
    <row r="19" spans="1:5" ht="12.75">
      <c r="A19" s="107" t="str">
        <f>+INPUT!B98</f>
        <v>SW Diversions - Irrigation - Non-Federal Canals - Nebraska</v>
      </c>
      <c r="B19" s="107">
        <f>+INPUT!C98</f>
        <v>0</v>
      </c>
      <c r="C19">
        <v>0</v>
      </c>
      <c r="D19">
        <v>0</v>
      </c>
      <c r="E19">
        <f t="shared" si="0"/>
        <v>0</v>
      </c>
    </row>
    <row r="20" spans="1:5" ht="12.75">
      <c r="A20" s="107" t="str">
        <f>+INPUT!B99</f>
        <v>SW Diversions - Irrigation - Small Pumps - Nebraska</v>
      </c>
      <c r="B20" s="107">
        <f>+INPUT!C99</f>
        <v>0</v>
      </c>
      <c r="C20">
        <v>0</v>
      </c>
      <c r="D20">
        <v>15.5</v>
      </c>
      <c r="E20">
        <f t="shared" si="0"/>
        <v>15.5</v>
      </c>
    </row>
    <row r="21" spans="1:5" ht="12.75">
      <c r="A21" s="107" t="str">
        <f>+INPUT!B100</f>
        <v>SW Diversions - M&amp;I - Nebraska</v>
      </c>
      <c r="B21" s="107">
        <f>+INPUT!C100</f>
        <v>0</v>
      </c>
      <c r="C21">
        <v>0</v>
      </c>
      <c r="D21">
        <v>0</v>
      </c>
      <c r="E21">
        <f t="shared" si="0"/>
        <v>0</v>
      </c>
    </row>
    <row r="22" spans="1:5" ht="12.75">
      <c r="A22" s="107" t="str">
        <f>+INPUT!B164</f>
        <v>Non-Federal Reservoir Evaporation - Kansas</v>
      </c>
      <c r="B22" s="107">
        <f>+INPUT!C164</f>
        <v>6.6</v>
      </c>
      <c r="C22">
        <v>0</v>
      </c>
      <c r="D22">
        <v>6.6</v>
      </c>
      <c r="E22">
        <f t="shared" si="0"/>
        <v>6.6</v>
      </c>
    </row>
    <row r="23" spans="1:5" ht="12.75">
      <c r="A23" s="107" t="str">
        <f>+INPUT!B165</f>
        <v>Non-Federal Reservoir Evaporation - Nebraska</v>
      </c>
      <c r="B23" s="107">
        <f>+INPUT!C165</f>
        <v>1.8</v>
      </c>
      <c r="C23">
        <v>0</v>
      </c>
      <c r="D23">
        <v>8.2</v>
      </c>
      <c r="E23">
        <f t="shared" si="0"/>
        <v>8.2</v>
      </c>
    </row>
    <row r="24" spans="1:5" ht="12.75">
      <c r="A24" s="107" t="str">
        <f>+INPUT!B205</f>
        <v>Driftwood Flood Flow</v>
      </c>
      <c r="B24" s="107">
        <f>+INPUT!C205</f>
        <v>0</v>
      </c>
      <c r="C24">
        <v>0</v>
      </c>
      <c r="D24">
        <v>0</v>
      </c>
      <c r="E24">
        <f t="shared" si="0"/>
        <v>0</v>
      </c>
    </row>
    <row r="25" spans="1:5" ht="12.75">
      <c r="A25" s="122" t="s">
        <v>81</v>
      </c>
      <c r="B25" s="16"/>
      <c r="E25">
        <f t="shared" si="0"/>
        <v>0</v>
      </c>
    </row>
    <row r="26" spans="1:5" ht="15.75">
      <c r="A26" s="10" t="s">
        <v>258</v>
      </c>
      <c r="B26" s="16"/>
      <c r="E26">
        <f t="shared" si="0"/>
        <v>0</v>
      </c>
    </row>
    <row r="27" spans="1:5" ht="12.75">
      <c r="A27" s="8" t="s">
        <v>0</v>
      </c>
      <c r="B27" s="16"/>
      <c r="E27">
        <f t="shared" si="0"/>
        <v>0</v>
      </c>
    </row>
    <row r="28" spans="1:5" ht="12.75">
      <c r="A28" s="16" t="str">
        <f>'NORTH FORK'!A28</f>
        <v>GW CBCU</v>
      </c>
      <c r="B28" s="16">
        <f>+B6</f>
        <v>0</v>
      </c>
      <c r="C28">
        <v>0</v>
      </c>
      <c r="D28">
        <v>0</v>
      </c>
      <c r="E28">
        <f t="shared" si="0"/>
        <v>0</v>
      </c>
    </row>
    <row r="29" spans="1:5" ht="12.75">
      <c r="A29" s="16" t="str">
        <f>'NORTH FORK'!A29</f>
        <v>Total CBCU</v>
      </c>
      <c r="B29" s="73">
        <f>(ROUND(SUM(B28:B28),-1))</f>
        <v>0</v>
      </c>
      <c r="C29">
        <v>0</v>
      </c>
      <c r="D29">
        <v>0</v>
      </c>
      <c r="E29">
        <f t="shared" si="0"/>
        <v>0</v>
      </c>
    </row>
    <row r="30" spans="1:5" ht="12.75">
      <c r="A30" s="16" t="s">
        <v>81</v>
      </c>
      <c r="B30" s="16"/>
      <c r="E30">
        <f t="shared" si="0"/>
        <v>0</v>
      </c>
    </row>
    <row r="31" spans="1:5" ht="12.75">
      <c r="A31" s="8" t="s">
        <v>178</v>
      </c>
      <c r="B31" s="16"/>
      <c r="E31">
        <f t="shared" si="0"/>
        <v>0</v>
      </c>
    </row>
    <row r="32" spans="1:5" ht="12.75">
      <c r="A32" s="16" t="str">
        <f>'NORTH FORK'!A23</f>
        <v>SW CBCU - Irrigation - Non Federal Canals</v>
      </c>
      <c r="B32" s="16">
        <f>+B15*CanalCUPercent</f>
        <v>0</v>
      </c>
      <c r="C32">
        <v>0</v>
      </c>
      <c r="D32">
        <v>0</v>
      </c>
      <c r="E32">
        <f t="shared" si="0"/>
        <v>0</v>
      </c>
    </row>
    <row r="33" spans="1:5" ht="12.75">
      <c r="A33" s="16" t="str">
        <f>'NORTH FORK'!A24</f>
        <v>SW CBCU - Irrigation - Small Pumps</v>
      </c>
      <c r="B33" s="16">
        <f>+B16*PumperCUPercent</f>
        <v>0</v>
      </c>
      <c r="C33">
        <v>0</v>
      </c>
      <c r="D33">
        <v>0</v>
      </c>
      <c r="E33">
        <f t="shared" si="0"/>
        <v>0</v>
      </c>
    </row>
    <row r="34" spans="1:5" ht="12.75">
      <c r="A34" s="16" t="str">
        <f>'NORTH FORK'!A25</f>
        <v>SW CBCU - M&amp;I</v>
      </c>
      <c r="B34" s="16">
        <f>+B17*MI_CUPercent</f>
        <v>0</v>
      </c>
      <c r="C34">
        <v>0</v>
      </c>
      <c r="D34">
        <v>0</v>
      </c>
      <c r="E34">
        <f t="shared" si="0"/>
        <v>0</v>
      </c>
    </row>
    <row r="35" spans="1:5" ht="12.75">
      <c r="A35" s="98" t="str">
        <f>'NORTH FORK'!A26</f>
        <v>Non-Federal Reservoir Evaporation</v>
      </c>
      <c r="B35" s="16">
        <f>B22</f>
        <v>6.6</v>
      </c>
      <c r="C35">
        <v>0</v>
      </c>
      <c r="D35">
        <v>6.6</v>
      </c>
      <c r="E35">
        <f t="shared" si="0"/>
        <v>6.6</v>
      </c>
    </row>
    <row r="36" spans="1:5" ht="12.75">
      <c r="A36" s="16" t="str">
        <f>'NORTH FORK'!A27</f>
        <v>SW CBCU</v>
      </c>
      <c r="B36" s="73">
        <f>B32+B33+B34+B35</f>
        <v>6.6</v>
      </c>
      <c r="C36">
        <v>0</v>
      </c>
      <c r="D36">
        <v>6.6</v>
      </c>
      <c r="E36">
        <f t="shared" si="0"/>
        <v>6.6</v>
      </c>
    </row>
    <row r="37" spans="1:5" ht="12.75">
      <c r="A37" s="16" t="str">
        <f>'NORTH FORK'!A28</f>
        <v>GW CBCU</v>
      </c>
      <c r="B37" s="16">
        <f>+B7</f>
        <v>0</v>
      </c>
      <c r="C37">
        <v>0</v>
      </c>
      <c r="D37">
        <v>0</v>
      </c>
      <c r="E37">
        <f t="shared" si="0"/>
        <v>0</v>
      </c>
    </row>
    <row r="38" spans="1:5" ht="12.75">
      <c r="A38" s="16" t="str">
        <f>'NORTH FORK'!A29</f>
        <v>Total CBCU</v>
      </c>
      <c r="B38" s="73">
        <f>(ROUND(SUM(B36:B37),-1))</f>
        <v>10</v>
      </c>
      <c r="C38">
        <v>0</v>
      </c>
      <c r="D38">
        <v>10</v>
      </c>
      <c r="E38">
        <f t="shared" si="0"/>
        <v>10</v>
      </c>
    </row>
    <row r="39" spans="1:5" ht="12.75">
      <c r="A39" s="16" t="s">
        <v>81</v>
      </c>
      <c r="B39" s="16"/>
      <c r="E39">
        <f t="shared" si="0"/>
        <v>0</v>
      </c>
    </row>
    <row r="40" spans="1:5" ht="12.75">
      <c r="A40" s="8" t="s">
        <v>1</v>
      </c>
      <c r="B40" s="16"/>
      <c r="E40">
        <f t="shared" si="0"/>
        <v>0</v>
      </c>
    </row>
    <row r="41" spans="1:5" ht="12.75">
      <c r="A41" s="12" t="str">
        <f>'NORTH FORK'!A23</f>
        <v>SW CBCU - Irrigation - Non Federal Canals</v>
      </c>
      <c r="B41" s="73">
        <f>B19*CanalCUPercent</f>
        <v>0</v>
      </c>
      <c r="C41">
        <v>0</v>
      </c>
      <c r="D41">
        <v>0</v>
      </c>
      <c r="E41">
        <f t="shared" si="0"/>
        <v>0</v>
      </c>
    </row>
    <row r="42" spans="1:5" ht="12.75">
      <c r="A42" s="12" t="str">
        <f>'NORTH FORK'!A24</f>
        <v>SW CBCU - Irrigation - Small Pumps</v>
      </c>
      <c r="B42" s="73">
        <f>B20*PumperCUPercent</f>
        <v>0</v>
      </c>
      <c r="C42">
        <v>0</v>
      </c>
      <c r="D42">
        <v>11.625</v>
      </c>
      <c r="E42">
        <f t="shared" si="0"/>
        <v>11.625</v>
      </c>
    </row>
    <row r="43" spans="1:5" ht="12.75">
      <c r="A43" s="12" t="str">
        <f>'NORTH FORK'!A25</f>
        <v>SW CBCU - M&amp;I</v>
      </c>
      <c r="B43" s="16">
        <f>B21*MI_CUPercent</f>
        <v>0</v>
      </c>
      <c r="C43">
        <v>0</v>
      </c>
      <c r="D43">
        <v>0</v>
      </c>
      <c r="E43">
        <f t="shared" si="0"/>
        <v>0</v>
      </c>
    </row>
    <row r="44" spans="1:5" ht="12.75">
      <c r="A44" s="16" t="str">
        <f>'NORTH FORK'!A26</f>
        <v>Non-Federal Reservoir Evaporation</v>
      </c>
      <c r="B44" s="16">
        <f>B23</f>
        <v>1.8</v>
      </c>
      <c r="C44">
        <v>0</v>
      </c>
      <c r="D44">
        <v>8.2</v>
      </c>
      <c r="E44">
        <f t="shared" si="0"/>
        <v>8.2</v>
      </c>
    </row>
    <row r="45" spans="1:5" ht="12.75">
      <c r="A45" s="16" t="str">
        <f>'NORTH FORK'!A27</f>
        <v>SW CBCU</v>
      </c>
      <c r="B45" s="73">
        <f>B41+B42+B43+B44</f>
        <v>1.8</v>
      </c>
      <c r="C45">
        <v>0</v>
      </c>
      <c r="D45">
        <v>19.825</v>
      </c>
      <c r="E45">
        <f t="shared" si="0"/>
        <v>19.825</v>
      </c>
    </row>
    <row r="46" spans="1:5" ht="12.75">
      <c r="A46" s="16" t="str">
        <f>'NORTH FORK'!A28</f>
        <v>GW CBCU</v>
      </c>
      <c r="B46" s="16">
        <f>+B8</f>
        <v>1481</v>
      </c>
      <c r="C46">
        <v>1391</v>
      </c>
      <c r="D46">
        <v>1479</v>
      </c>
      <c r="E46">
        <f t="shared" si="0"/>
        <v>1479</v>
      </c>
    </row>
    <row r="47" spans="1:5" ht="12.75">
      <c r="A47" s="16" t="str">
        <f>'NORTH FORK'!A29</f>
        <v>Total CBCU</v>
      </c>
      <c r="B47" s="73">
        <f>(ROUND(SUM(B45:B46),-1))</f>
        <v>1480</v>
      </c>
      <c r="C47">
        <v>1390</v>
      </c>
      <c r="D47">
        <v>1500</v>
      </c>
      <c r="E47">
        <f t="shared" si="0"/>
        <v>1500</v>
      </c>
    </row>
    <row r="48" spans="1:5" ht="12.75">
      <c r="A48" s="98" t="s">
        <v>81</v>
      </c>
      <c r="B48" s="16"/>
      <c r="E48">
        <f t="shared" si="0"/>
        <v>0</v>
      </c>
    </row>
    <row r="49" spans="1:5" ht="12.75">
      <c r="A49" s="5" t="s">
        <v>179</v>
      </c>
      <c r="B49" s="16"/>
      <c r="E49">
        <f t="shared" si="0"/>
        <v>0</v>
      </c>
    </row>
    <row r="50" spans="1:5" ht="12.75">
      <c r="A50" s="98" t="str">
        <f>'NORTH FORK'!A42</f>
        <v>Total SW CBCU</v>
      </c>
      <c r="B50" s="73">
        <f>+B36+B45</f>
        <v>8.4</v>
      </c>
      <c r="C50">
        <v>0</v>
      </c>
      <c r="D50">
        <v>26.425</v>
      </c>
      <c r="E50">
        <f t="shared" si="0"/>
        <v>26.425</v>
      </c>
    </row>
    <row r="51" spans="1:5" ht="12.75">
      <c r="A51" s="98" t="str">
        <f>'NORTH FORK'!A43</f>
        <v>Total GW CBCU</v>
      </c>
      <c r="B51" s="73">
        <f>+B28+B37+B46</f>
        <v>1481</v>
      </c>
      <c r="C51">
        <v>1391</v>
      </c>
      <c r="D51">
        <v>1479</v>
      </c>
      <c r="E51">
        <f t="shared" si="0"/>
        <v>1479</v>
      </c>
    </row>
    <row r="52" spans="1:5" ht="12.75">
      <c r="A52" s="98" t="str">
        <f>'NORTH FORK'!A44</f>
        <v>Total Basin CBCU</v>
      </c>
      <c r="B52" s="73">
        <f>(ROUND(SUM(B50:B51),-1))</f>
        <v>1490</v>
      </c>
      <c r="C52">
        <v>1390</v>
      </c>
      <c r="D52">
        <v>1510</v>
      </c>
      <c r="E52">
        <f t="shared" si="0"/>
        <v>1510</v>
      </c>
    </row>
    <row r="53" spans="1:5" ht="12.75">
      <c r="A53" s="98" t="s">
        <v>81</v>
      </c>
      <c r="B53" s="16"/>
      <c r="E53">
        <f t="shared" si="0"/>
        <v>0</v>
      </c>
    </row>
    <row r="54" spans="1:5" ht="15.75">
      <c r="A54" s="11" t="s">
        <v>10</v>
      </c>
      <c r="B54" s="16"/>
      <c r="E54">
        <f t="shared" si="0"/>
        <v>0</v>
      </c>
    </row>
    <row r="55" spans="1:5" ht="12.75">
      <c r="A55" s="73" t="str">
        <f>A14</f>
        <v>Driftwood Creek Near McCook</v>
      </c>
      <c r="B55" s="73">
        <f>B14</f>
        <v>1911</v>
      </c>
      <c r="C55">
        <v>1100</v>
      </c>
      <c r="D55">
        <v>1201</v>
      </c>
      <c r="E55">
        <f t="shared" si="0"/>
        <v>1201</v>
      </c>
    </row>
    <row r="56" spans="1:5" ht="12.75">
      <c r="A56" s="16" t="s">
        <v>224</v>
      </c>
      <c r="B56" s="73">
        <f>0.24*B18*B11</f>
        <v>0</v>
      </c>
      <c r="C56">
        <v>0</v>
      </c>
      <c r="D56">
        <v>0</v>
      </c>
      <c r="E56">
        <f t="shared" si="0"/>
        <v>0</v>
      </c>
    </row>
    <row r="57" spans="1:5" ht="12.75">
      <c r="A57" s="16" t="str">
        <f>'NORTH FORK'!A49</f>
        <v>Colorado CBCU</v>
      </c>
      <c r="B57" s="73">
        <f>+B29</f>
        <v>0</v>
      </c>
      <c r="C57">
        <v>0</v>
      </c>
      <c r="D57">
        <v>0</v>
      </c>
      <c r="E57">
        <f t="shared" si="0"/>
        <v>0</v>
      </c>
    </row>
    <row r="58" spans="1:5" ht="12.75">
      <c r="A58" s="16" t="str">
        <f>'NORTH FORK'!A50</f>
        <v>Kansas CBCU</v>
      </c>
      <c r="B58" s="73">
        <f>+B38</f>
        <v>10</v>
      </c>
      <c r="C58">
        <v>0</v>
      </c>
      <c r="D58">
        <v>10</v>
      </c>
      <c r="E58">
        <f t="shared" si="0"/>
        <v>10</v>
      </c>
    </row>
    <row r="59" spans="1:5" ht="12.75">
      <c r="A59" s="16" t="str">
        <f>'NORTH FORK'!A51</f>
        <v>Nebraska CBCU</v>
      </c>
      <c r="B59" s="73">
        <f>+B47</f>
        <v>1480</v>
      </c>
      <c r="C59">
        <v>1390</v>
      </c>
      <c r="D59">
        <v>1500</v>
      </c>
      <c r="E59">
        <f t="shared" si="0"/>
        <v>1500</v>
      </c>
    </row>
    <row r="60" spans="1:5" ht="12.75">
      <c r="A60" s="16" t="str">
        <f>'NORTH FORK'!A52</f>
        <v>Imported Water</v>
      </c>
      <c r="B60" s="16">
        <f>+B5</f>
        <v>0</v>
      </c>
      <c r="C60">
        <v>0</v>
      </c>
      <c r="D60">
        <v>0</v>
      </c>
      <c r="E60">
        <f t="shared" si="0"/>
        <v>0</v>
      </c>
    </row>
    <row r="61" spans="1:5" ht="12.75">
      <c r="A61" s="16" t="str">
        <f>'NORTH FORK'!A53</f>
        <v>Virgin Water Supply</v>
      </c>
      <c r="B61" s="73">
        <f>ROUND(SUM(B55,B57:B59)-B60-B56,-1)</f>
        <v>3400</v>
      </c>
      <c r="C61">
        <v>2490</v>
      </c>
      <c r="D61">
        <v>2710</v>
      </c>
      <c r="E61">
        <f t="shared" si="0"/>
        <v>2710</v>
      </c>
    </row>
    <row r="62" spans="1:5" ht="12.75">
      <c r="A62" s="16" t="str">
        <f>'NORTH FORK'!A54</f>
        <v>Adjustment For Flood Flows</v>
      </c>
      <c r="B62" s="16">
        <f>B24</f>
        <v>0</v>
      </c>
      <c r="C62">
        <v>0</v>
      </c>
      <c r="D62">
        <v>0</v>
      </c>
      <c r="E62">
        <f t="shared" si="0"/>
        <v>0</v>
      </c>
    </row>
    <row r="63" spans="1:5" ht="12.75">
      <c r="A63" s="16" t="str">
        <f>'NORTH FORK'!A55</f>
        <v>Computed Water Supply</v>
      </c>
      <c r="B63" s="73">
        <f>ROUND(+B61-B62,-1)</f>
        <v>3400</v>
      </c>
      <c r="C63">
        <v>2490</v>
      </c>
      <c r="D63">
        <v>2710</v>
      </c>
      <c r="E63">
        <f t="shared" si="0"/>
        <v>2710</v>
      </c>
    </row>
    <row r="64" spans="1:5" ht="12.75">
      <c r="A64" s="98" t="s">
        <v>81</v>
      </c>
      <c r="B64" s="16"/>
      <c r="E64">
        <f t="shared" si="0"/>
        <v>0</v>
      </c>
    </row>
    <row r="65" spans="1:5" ht="15.75">
      <c r="A65" s="11" t="s">
        <v>12</v>
      </c>
      <c r="B65" s="13"/>
      <c r="E65">
        <f t="shared" si="0"/>
        <v>0</v>
      </c>
    </row>
    <row r="66" spans="1:5" ht="12.75">
      <c r="A66" s="16" t="str">
        <f>'NORTH FORK'!A58</f>
        <v>Colorado Percent Of Allocation</v>
      </c>
      <c r="B66" s="126">
        <f>'T2'!D9</f>
        <v>0</v>
      </c>
      <c r="C66">
        <v>0</v>
      </c>
      <c r="D66">
        <v>0</v>
      </c>
      <c r="E66">
        <f t="shared" si="0"/>
        <v>0</v>
      </c>
    </row>
    <row r="67" spans="1:5" ht="12.75">
      <c r="A67" s="2" t="str">
        <f>'NORTH FORK'!A59</f>
        <v>Colorado Allocation</v>
      </c>
      <c r="B67" s="4">
        <f>ROUND(+B63*B66,-1)</f>
        <v>0</v>
      </c>
      <c r="C67">
        <v>0</v>
      </c>
      <c r="D67">
        <v>0</v>
      </c>
      <c r="E67">
        <f t="shared" si="0"/>
        <v>0</v>
      </c>
    </row>
    <row r="68" spans="1:5" ht="12.75">
      <c r="A68" s="2" t="str">
        <f>'NORTH FORK'!A60</f>
        <v>Kansas Percent Of Allocation</v>
      </c>
      <c r="B68" s="15">
        <f>'T2'!F9</f>
        <v>0.069</v>
      </c>
      <c r="C68">
        <v>0.069</v>
      </c>
      <c r="D68">
        <v>0.069</v>
      </c>
      <c r="E68">
        <f t="shared" si="0"/>
        <v>0.069</v>
      </c>
    </row>
    <row r="69" spans="1:5" ht="12.75">
      <c r="A69" s="2" t="str">
        <f>'NORTH FORK'!A61</f>
        <v>Kansas Allocation</v>
      </c>
      <c r="B69" s="4">
        <f>ROUND(B63*B68,-1)</f>
        <v>230</v>
      </c>
      <c r="C69">
        <v>170</v>
      </c>
      <c r="D69">
        <v>190</v>
      </c>
      <c r="E69">
        <f t="shared" si="0"/>
        <v>190</v>
      </c>
    </row>
    <row r="70" spans="1:5" ht="12.75">
      <c r="A70" s="2" t="str">
        <f>'NORTH FORK'!A62</f>
        <v>Nebraska Percent Of Allocation</v>
      </c>
      <c r="B70" s="15">
        <f>'T2'!H9</f>
        <v>0.164</v>
      </c>
      <c r="C70">
        <v>0.164</v>
      </c>
      <c r="D70">
        <v>0.164</v>
      </c>
      <c r="E70">
        <f t="shared" si="0"/>
        <v>0.164</v>
      </c>
    </row>
    <row r="71" spans="1:5" ht="12.75">
      <c r="A71" s="2" t="str">
        <f>'NORTH FORK'!A63</f>
        <v>Nebraska Allocation</v>
      </c>
      <c r="B71" s="4">
        <f>ROUND(B63*B70,-1)</f>
        <v>560</v>
      </c>
      <c r="C71">
        <v>410</v>
      </c>
      <c r="D71">
        <v>440</v>
      </c>
      <c r="E71">
        <f>D71</f>
        <v>440</v>
      </c>
    </row>
    <row r="72" spans="1:5" ht="12.75">
      <c r="A72" s="2" t="str">
        <f>'NORTH FORK'!A64</f>
        <v>Total Basin Allocation</v>
      </c>
      <c r="B72" s="4">
        <f>+B67+B69+B71</f>
        <v>790</v>
      </c>
      <c r="C72">
        <v>580</v>
      </c>
      <c r="D72">
        <v>630</v>
      </c>
      <c r="E72">
        <f>D72</f>
        <v>630</v>
      </c>
    </row>
    <row r="73" spans="1:5" ht="12.75">
      <c r="A73" s="2" t="str">
        <f>'NORTH FORK'!A65</f>
        <v>Percent Of Supply Not Allocated</v>
      </c>
      <c r="B73" s="15">
        <f>'T2'!J9</f>
        <v>0.767</v>
      </c>
      <c r="C73">
        <v>0.767</v>
      </c>
      <c r="D73">
        <v>0.767</v>
      </c>
      <c r="E73">
        <f>D73</f>
        <v>0.767</v>
      </c>
    </row>
    <row r="74" spans="1:5" ht="12.75">
      <c r="A74" s="2" t="str">
        <f>'NORTH FORK'!A66</f>
        <v>Quantity Of Unallocated Supply</v>
      </c>
      <c r="B74" s="4">
        <f>+B63-B67-B69-B71</f>
        <v>2610</v>
      </c>
      <c r="C74">
        <v>1910</v>
      </c>
      <c r="D74">
        <v>2080</v>
      </c>
      <c r="E74">
        <f>D74</f>
        <v>2080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Republican River Compact Administration Accounting Program</dc:title>
  <dc:subject/>
  <dc:creator>Nebraska Department Natural Resources</dc:creator>
  <cp:keywords/>
  <dc:description/>
  <cp:lastModifiedBy>dbarfield</cp:lastModifiedBy>
  <cp:lastPrinted>2006-08-09T23:50:11Z</cp:lastPrinted>
  <dcterms:created xsi:type="dcterms:W3CDTF">2002-10-16T14:29:03Z</dcterms:created>
  <dcterms:modified xsi:type="dcterms:W3CDTF">2006-08-09T23:51:44Z</dcterms:modified>
  <cp:category/>
  <cp:version/>
  <cp:contentType/>
  <cp:contentStatus/>
</cp:coreProperties>
</file>